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C:\Users\UB10576\Desktop\"/>
    </mc:Choice>
  </mc:AlternateContent>
  <xr:revisionPtr revIDLastSave="0" documentId="13_ncr:1_{C476011E-DA7C-43A4-8F7C-FD3659EDDDD9}" xr6:coauthVersionLast="36" xr6:coauthVersionMax="36" xr10:uidLastSave="{00000000-0000-0000-0000-000000000000}"/>
  <bookViews>
    <workbookView xWindow="0" yWindow="0" windowWidth="24000" windowHeight="9540" xr2:uid="{00000000-000D-0000-FFFF-FFFF00000000}"/>
  </bookViews>
  <sheets>
    <sheet name="SQL Results" sheetId="1" r:id="rId1"/>
    <sheet name="SQL Statement" sheetId="2" r:id="rId2"/>
  </sheets>
  <definedNames>
    <definedName name="_xlnm._FilterDatabase" localSheetId="0" hidden="1">'SQL Results'!$A$1:$F$651</definedName>
  </definedNames>
  <calcPr calcId="191029"/>
</workbook>
</file>

<file path=xl/calcChain.xml><?xml version="1.0" encoding="utf-8"?>
<calcChain xmlns="http://schemas.openxmlformats.org/spreadsheetml/2006/main">
  <c r="D132" i="1" l="1"/>
  <c r="D143" i="1"/>
  <c r="D192" i="1"/>
  <c r="D229" i="1"/>
  <c r="D230" i="1"/>
  <c r="D231" i="1"/>
  <c r="D232" i="1"/>
  <c r="D279" i="1"/>
  <c r="D278" i="1"/>
  <c r="D284" i="1"/>
  <c r="D307" i="1"/>
  <c r="D308" i="1"/>
  <c r="D322" i="1"/>
  <c r="D327" i="1"/>
  <c r="D328" i="1"/>
  <c r="D330" i="1"/>
  <c r="D331" i="1"/>
  <c r="D332" i="1"/>
  <c r="D335" i="1"/>
  <c r="D336" i="1"/>
  <c r="D337" i="1"/>
  <c r="D344" i="1"/>
  <c r="D345" i="1"/>
  <c r="D346" i="1"/>
  <c r="D369" i="1"/>
  <c r="D368" i="1"/>
  <c r="D382" i="1"/>
  <c r="D400" i="1"/>
  <c r="D406" i="1"/>
  <c r="D419" i="1"/>
  <c r="D433" i="1"/>
  <c r="D432" i="1"/>
  <c r="D456" i="1"/>
  <c r="D457" i="1"/>
  <c r="D461" i="1"/>
  <c r="D465" i="1"/>
  <c r="D498" i="1"/>
  <c r="D501" i="1"/>
  <c r="D520" i="1"/>
  <c r="D523" i="1"/>
  <c r="D528" i="1"/>
  <c r="D539" i="1"/>
  <c r="D562" i="1"/>
  <c r="D571" i="1"/>
  <c r="D574" i="1"/>
  <c r="D564" i="1"/>
  <c r="D569" i="1"/>
  <c r="D568" i="1"/>
  <c r="D567" i="1"/>
  <c r="D573" i="1"/>
  <c r="D580" i="1"/>
  <c r="D581" i="1"/>
  <c r="D582" i="1"/>
  <c r="D592" i="1"/>
  <c r="D609" i="1"/>
  <c r="D610" i="1"/>
  <c r="D622" i="1"/>
  <c r="D647" i="1"/>
  <c r="D649" i="1"/>
  <c r="D211" i="1"/>
  <c r="D144" i="1"/>
  <c r="D121" i="1"/>
  <c r="D115" i="1"/>
  <c r="D114" i="1"/>
  <c r="D118" i="1"/>
  <c r="D97" i="1"/>
  <c r="D91" i="1"/>
  <c r="D62" i="1"/>
  <c r="D61" i="1"/>
  <c r="D58" i="1"/>
  <c r="D55" i="1"/>
  <c r="D54" i="1"/>
  <c r="D47" i="1"/>
  <c r="D46" i="1"/>
  <c r="D45" i="1"/>
  <c r="D41" i="1"/>
  <c r="D27" i="1"/>
  <c r="D31" i="1"/>
  <c r="D272" i="1" l="1"/>
  <c r="D271" i="1"/>
  <c r="D268" i="1"/>
  <c r="D265" i="1"/>
  <c r="D263" i="1"/>
  <c r="D267" i="1"/>
  <c r="D648" i="1"/>
  <c r="D642" i="1"/>
  <c r="D640" i="1"/>
  <c r="D636" i="1"/>
  <c r="D635" i="1"/>
  <c r="D634" i="1"/>
  <c r="D633" i="1"/>
  <c r="D632" i="1"/>
  <c r="D631" i="1"/>
  <c r="D628" i="1"/>
  <c r="D630" i="1"/>
  <c r="D613" i="1"/>
  <c r="D612" i="1"/>
  <c r="D611" i="1"/>
  <c r="D607" i="1"/>
  <c r="D593" i="1"/>
  <c r="D591" i="1"/>
  <c r="D590" i="1"/>
  <c r="D589" i="1"/>
  <c r="D588" i="1"/>
  <c r="D587" i="1"/>
  <c r="D583" i="1"/>
  <c r="D579" i="1"/>
  <c r="D577" i="1"/>
  <c r="D576" i="1"/>
  <c r="D572" i="1"/>
  <c r="D561" i="1"/>
  <c r="D560" i="1"/>
  <c r="D559" i="1"/>
  <c r="D558" i="1"/>
  <c r="D556" i="1"/>
  <c r="D551" i="1"/>
  <c r="D548" i="1"/>
  <c r="D536" i="1"/>
  <c r="D534" i="1"/>
  <c r="D533" i="1"/>
  <c r="D532" i="1"/>
  <c r="D521" i="1"/>
  <c r="D513" i="1"/>
  <c r="D512" i="1"/>
  <c r="D507" i="1"/>
  <c r="D506" i="1"/>
  <c r="D504" i="1"/>
  <c r="D487" i="1"/>
  <c r="D485" i="1"/>
  <c r="D484" i="1"/>
  <c r="D480" i="1"/>
  <c r="D479" i="1"/>
  <c r="D478" i="1"/>
  <c r="D477" i="1"/>
  <c r="D476" i="1"/>
  <c r="D469" i="1"/>
  <c r="D462" i="1"/>
  <c r="D450" i="1"/>
  <c r="D449" i="1"/>
  <c r="D436" i="1"/>
  <c r="D429" i="1"/>
  <c r="D414" i="1"/>
  <c r="D405" i="1"/>
  <c r="D404" i="1"/>
  <c r="D402" i="1"/>
  <c r="D391" i="1"/>
  <c r="D389" i="1"/>
  <c r="D388" i="1"/>
  <c r="D387" i="1"/>
  <c r="D385" i="1"/>
  <c r="D367" i="1"/>
  <c r="D364" i="1"/>
  <c r="D365" i="1"/>
  <c r="D363" i="1"/>
  <c r="D360" i="1"/>
  <c r="D348" i="1"/>
  <c r="D343" i="1"/>
  <c r="D342" i="1"/>
  <c r="D338" i="1"/>
  <c r="D326" i="1"/>
  <c r="D325" i="1"/>
  <c r="D324" i="1"/>
  <c r="D321" i="1"/>
  <c r="D309" i="1" l="1"/>
  <c r="D299" i="1"/>
  <c r="D280" i="1"/>
  <c r="D274" i="1"/>
  <c r="D273" i="1"/>
  <c r="D256" i="1"/>
  <c r="D220" i="1"/>
  <c r="D221" i="1"/>
  <c r="D215" i="1"/>
  <c r="D216" i="1"/>
  <c r="D183" i="1"/>
  <c r="D182" i="1"/>
  <c r="D180" i="1"/>
  <c r="D168" i="1"/>
  <c r="D151" i="1"/>
  <c r="D150" i="1"/>
  <c r="D149" i="1"/>
  <c r="D148" i="1"/>
  <c r="D147" i="1"/>
  <c r="D139" i="1"/>
  <c r="D135" i="1"/>
  <c r="D129" i="1"/>
  <c r="D126" i="1"/>
  <c r="D122" i="1"/>
  <c r="D120" i="1"/>
  <c r="D109" i="1"/>
  <c r="D95" i="1"/>
  <c r="D94" i="1"/>
  <c r="D93" i="1"/>
  <c r="D87" i="1"/>
  <c r="D84" i="1"/>
  <c r="D73" i="1"/>
  <c r="D69" i="1"/>
  <c r="D65" i="1"/>
  <c r="D60" i="1"/>
  <c r="D59" i="1"/>
  <c r="D44" i="1"/>
  <c r="D42" i="1"/>
  <c r="D30" i="1"/>
  <c r="D26" i="1"/>
  <c r="D21" i="1"/>
  <c r="D20" i="1"/>
  <c r="D17" i="1"/>
  <c r="D12" i="1"/>
  <c r="D10" i="1"/>
  <c r="D8" i="1"/>
  <c r="D7" i="1"/>
  <c r="D3" i="1"/>
  <c r="D2" i="1"/>
  <c r="D651" i="1"/>
  <c r="D650" i="1"/>
  <c r="D646" i="1"/>
  <c r="D645" i="1"/>
  <c r="D644" i="1"/>
  <c r="D643" i="1"/>
  <c r="D641" i="1"/>
  <c r="D639" i="1"/>
  <c r="D638" i="1"/>
  <c r="D637" i="1"/>
  <c r="D629" i="1"/>
  <c r="D627" i="1"/>
  <c r="D626" i="1"/>
  <c r="D625" i="1"/>
  <c r="D624" i="1"/>
  <c r="D623" i="1"/>
  <c r="D621" i="1"/>
  <c r="D620" i="1"/>
  <c r="D619" i="1"/>
  <c r="D618" i="1"/>
  <c r="D617" i="1"/>
  <c r="D616" i="1"/>
  <c r="D615" i="1"/>
  <c r="D614" i="1"/>
  <c r="D608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86" i="1"/>
  <c r="D585" i="1"/>
  <c r="D584" i="1"/>
  <c r="D578" i="1"/>
  <c r="D575" i="1"/>
  <c r="D570" i="1"/>
  <c r="D566" i="1"/>
  <c r="D565" i="1"/>
  <c r="D563" i="1"/>
  <c r="D557" i="1"/>
  <c r="D555" i="1"/>
  <c r="D554" i="1"/>
  <c r="D553" i="1"/>
  <c r="D552" i="1"/>
  <c r="D550" i="1"/>
  <c r="D549" i="1"/>
  <c r="D547" i="1"/>
  <c r="D546" i="1"/>
  <c r="D545" i="1"/>
  <c r="D544" i="1"/>
  <c r="D543" i="1"/>
  <c r="D542" i="1"/>
  <c r="D541" i="1"/>
  <c r="D540" i="1"/>
  <c r="D538" i="1"/>
  <c r="D537" i="1"/>
  <c r="D535" i="1"/>
  <c r="D531" i="1"/>
  <c r="D530" i="1"/>
  <c r="D529" i="1"/>
  <c r="D527" i="1"/>
  <c r="D526" i="1"/>
  <c r="D525" i="1"/>
  <c r="D524" i="1"/>
  <c r="D522" i="1"/>
  <c r="D519" i="1"/>
  <c r="D518" i="1"/>
  <c r="D517" i="1"/>
  <c r="D516" i="1"/>
  <c r="D515" i="1"/>
  <c r="D514" i="1"/>
  <c r="D511" i="1"/>
  <c r="D510" i="1"/>
  <c r="D509" i="1"/>
  <c r="D508" i="1"/>
  <c r="D505" i="1"/>
  <c r="D503" i="1"/>
  <c r="D502" i="1"/>
  <c r="D500" i="1"/>
  <c r="D499" i="1"/>
  <c r="D497" i="1"/>
  <c r="D496" i="1"/>
  <c r="D495" i="1"/>
  <c r="D494" i="1"/>
  <c r="D493" i="1"/>
  <c r="D492" i="1"/>
  <c r="D491" i="1"/>
  <c r="D490" i="1"/>
  <c r="D489" i="1"/>
  <c r="D488" i="1"/>
  <c r="D486" i="1"/>
  <c r="D483" i="1"/>
  <c r="D482" i="1"/>
  <c r="D481" i="1"/>
  <c r="D475" i="1"/>
  <c r="D474" i="1"/>
  <c r="D473" i="1"/>
  <c r="D472" i="1"/>
  <c r="D471" i="1"/>
  <c r="D470" i="1"/>
  <c r="D468" i="1"/>
  <c r="D467" i="1"/>
  <c r="D466" i="1"/>
  <c r="D464" i="1"/>
  <c r="D463" i="1"/>
  <c r="D460" i="1"/>
  <c r="D459" i="1"/>
  <c r="D458" i="1"/>
  <c r="D455" i="1"/>
  <c r="D454" i="1"/>
  <c r="D453" i="1"/>
  <c r="D452" i="1"/>
  <c r="D451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5" i="1"/>
  <c r="D434" i="1"/>
  <c r="D431" i="1"/>
  <c r="D430" i="1"/>
  <c r="D428" i="1"/>
  <c r="D427" i="1"/>
  <c r="D426" i="1"/>
  <c r="D425" i="1"/>
  <c r="D424" i="1"/>
  <c r="D423" i="1"/>
  <c r="D422" i="1"/>
  <c r="D421" i="1"/>
  <c r="D420" i="1"/>
  <c r="D418" i="1"/>
  <c r="D417" i="1"/>
  <c r="D416" i="1"/>
  <c r="D415" i="1"/>
  <c r="D413" i="1"/>
  <c r="D412" i="1"/>
  <c r="D411" i="1"/>
  <c r="D410" i="1"/>
  <c r="D409" i="1"/>
  <c r="D408" i="1"/>
  <c r="D407" i="1"/>
  <c r="D403" i="1"/>
  <c r="D401" i="1"/>
  <c r="D399" i="1"/>
  <c r="D398" i="1"/>
  <c r="D397" i="1"/>
  <c r="D396" i="1"/>
  <c r="D395" i="1"/>
  <c r="D394" i="1"/>
  <c r="D393" i="1"/>
  <c r="D392" i="1"/>
  <c r="D390" i="1"/>
  <c r="D386" i="1"/>
  <c r="D384" i="1"/>
  <c r="D383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6" i="1"/>
  <c r="D362" i="1"/>
  <c r="D361" i="1"/>
  <c r="D359" i="1"/>
  <c r="D358" i="1"/>
  <c r="D357" i="1"/>
  <c r="D356" i="1"/>
  <c r="D355" i="1"/>
  <c r="D354" i="1"/>
  <c r="D353" i="1"/>
  <c r="D352" i="1"/>
  <c r="D351" i="1"/>
  <c r="D350" i="1"/>
  <c r="D349" i="1"/>
  <c r="D347" i="1"/>
  <c r="D341" i="1"/>
  <c r="D340" i="1"/>
  <c r="D339" i="1"/>
  <c r="D334" i="1"/>
  <c r="D333" i="1"/>
  <c r="D329" i="1"/>
  <c r="D323" i="1"/>
  <c r="D320" i="1"/>
  <c r="D319" i="1"/>
  <c r="D318" i="1"/>
  <c r="D317" i="1"/>
  <c r="D316" i="1"/>
  <c r="D315" i="1"/>
  <c r="D314" i="1"/>
  <c r="D313" i="1"/>
  <c r="D312" i="1"/>
  <c r="D311" i="1"/>
  <c r="D310" i="1"/>
  <c r="D306" i="1"/>
  <c r="D305" i="1"/>
  <c r="D304" i="1"/>
  <c r="D303" i="1"/>
  <c r="D302" i="1"/>
  <c r="D301" i="1"/>
  <c r="D300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3" i="1"/>
  <c r="D282" i="1"/>
  <c r="D281" i="1"/>
  <c r="D277" i="1"/>
  <c r="D276" i="1"/>
  <c r="D275" i="1"/>
  <c r="D270" i="1"/>
  <c r="D269" i="1"/>
  <c r="D266" i="1"/>
  <c r="D264" i="1"/>
  <c r="D262" i="1"/>
  <c r="D261" i="1"/>
  <c r="D260" i="1"/>
  <c r="D259" i="1"/>
  <c r="D258" i="1"/>
  <c r="D257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28" i="1"/>
  <c r="D227" i="1"/>
  <c r="D226" i="1"/>
  <c r="D225" i="1"/>
  <c r="D224" i="1"/>
  <c r="D223" i="1"/>
  <c r="D222" i="1"/>
  <c r="D219" i="1"/>
  <c r="D218" i="1"/>
  <c r="D217" i="1"/>
  <c r="D214" i="1"/>
  <c r="D213" i="1"/>
  <c r="D212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1" i="1"/>
  <c r="D190" i="1"/>
  <c r="D189" i="1"/>
  <c r="D188" i="1"/>
  <c r="D187" i="1"/>
  <c r="D186" i="1"/>
  <c r="D185" i="1"/>
  <c r="D184" i="1"/>
  <c r="D181" i="1"/>
  <c r="D179" i="1"/>
  <c r="D178" i="1"/>
  <c r="D177" i="1"/>
  <c r="D176" i="1"/>
  <c r="D175" i="1"/>
  <c r="D174" i="1"/>
  <c r="D173" i="1"/>
  <c r="D172" i="1"/>
  <c r="D171" i="1"/>
  <c r="D170" i="1"/>
  <c r="D169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46" i="1"/>
  <c r="D145" i="1"/>
  <c r="D142" i="1"/>
  <c r="D141" i="1"/>
  <c r="D140" i="1"/>
  <c r="D138" i="1"/>
  <c r="D137" i="1"/>
  <c r="D136" i="1"/>
  <c r="D134" i="1"/>
  <c r="D133" i="1"/>
  <c r="D131" i="1"/>
  <c r="D130" i="1"/>
  <c r="D128" i="1"/>
  <c r="D127" i="1"/>
  <c r="D125" i="1"/>
  <c r="D124" i="1"/>
  <c r="D123" i="1"/>
  <c r="D119" i="1"/>
  <c r="D117" i="1"/>
  <c r="D116" i="1"/>
  <c r="D113" i="1"/>
  <c r="D112" i="1"/>
  <c r="D111" i="1"/>
  <c r="D110" i="1"/>
  <c r="D108" i="1"/>
  <c r="D107" i="1"/>
  <c r="D106" i="1"/>
  <c r="D105" i="1"/>
  <c r="D104" i="1"/>
  <c r="D103" i="1"/>
  <c r="D102" i="1"/>
  <c r="D101" i="1"/>
  <c r="D100" i="1"/>
  <c r="D99" i="1"/>
  <c r="D98" i="1"/>
  <c r="D96" i="1"/>
  <c r="D92" i="1"/>
  <c r="D90" i="1"/>
  <c r="D89" i="1"/>
  <c r="D88" i="1"/>
  <c r="D86" i="1"/>
  <c r="D85" i="1"/>
  <c r="D83" i="1"/>
  <c r="D82" i="1"/>
  <c r="D81" i="1"/>
  <c r="D80" i="1"/>
  <c r="D79" i="1"/>
  <c r="D78" i="1"/>
  <c r="D77" i="1"/>
  <c r="D76" i="1"/>
  <c r="D75" i="1"/>
  <c r="D74" i="1"/>
  <c r="D72" i="1"/>
  <c r="D71" i="1"/>
  <c r="D70" i="1"/>
  <c r="D68" i="1"/>
  <c r="D67" i="1"/>
  <c r="D66" i="1"/>
  <c r="D64" i="1"/>
  <c r="D63" i="1"/>
  <c r="D57" i="1"/>
  <c r="D56" i="1"/>
  <c r="D53" i="1"/>
  <c r="D52" i="1"/>
  <c r="D51" i="1"/>
  <c r="D50" i="1"/>
  <c r="D49" i="1"/>
  <c r="D48" i="1"/>
  <c r="D43" i="1"/>
  <c r="D40" i="1"/>
  <c r="D39" i="1"/>
  <c r="D38" i="1"/>
  <c r="D37" i="1"/>
  <c r="D36" i="1"/>
  <c r="D35" i="1"/>
  <c r="D34" i="1"/>
  <c r="D33" i="1"/>
  <c r="D32" i="1"/>
  <c r="D29" i="1"/>
  <c r="D28" i="1"/>
  <c r="D25" i="1"/>
  <c r="D24" i="1"/>
  <c r="D23" i="1"/>
  <c r="D22" i="1"/>
  <c r="D19" i="1"/>
  <c r="D18" i="1"/>
  <c r="D16" i="1"/>
  <c r="D15" i="1"/>
  <c r="D14" i="1"/>
  <c r="D13" i="1"/>
  <c r="D11" i="1"/>
  <c r="D9" i="1"/>
  <c r="D6" i="1"/>
  <c r="D5" i="1"/>
  <c r="D4" i="1"/>
  <c r="D1" i="1"/>
</calcChain>
</file>

<file path=xl/sharedStrings.xml><?xml version="1.0" encoding="utf-8"?>
<sst xmlns="http://schemas.openxmlformats.org/spreadsheetml/2006/main" count="2625" uniqueCount="2619">
  <si>
    <t>ID</t>
  </si>
  <si>
    <t>INDEX NAME</t>
  </si>
  <si>
    <t>PRODUCT NAME</t>
  </si>
  <si>
    <t>POLLUTION CAT.</t>
  </si>
  <si>
    <t>HAZARDS</t>
  </si>
  <si>
    <t>SHIP TYPE</t>
  </si>
  <si>
    <r>
      <rPr>
        <b/>
        <sz val="8"/>
        <color theme="1"/>
        <rFont val="Arial"/>
      </rPr>
      <t>ACETIC ACID</t>
    </r>
  </si>
  <si>
    <t>ACETIC ACID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</si>
  <si>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</si>
  <si>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</si>
  <si>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ACETIC ANHYDRIDE</t>
    </r>
  </si>
  <si>
    <t>ACETIC ANHYDRIDE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</si>
  <si>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</si>
  <si>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</si>
  <si>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ACETOCHLOR</t>
    </r>
  </si>
  <si>
    <r>
      <rPr>
        <b/>
        <sz val="9"/>
        <color theme="1"/>
        <rFont val="Calibri"/>
      </rPr>
      <t>ACETOCHLOR</t>
    </r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</si>
  <si>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</si>
  <si>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</si>
  <si>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ACETONE CYANOHYDRIN</t>
    </r>
  </si>
  <si>
    <r>
      <rPr>
        <b/>
        <sz val="9"/>
        <color theme="1"/>
        <rFont val="Calibri"/>
      </rPr>
      <t>ACETONE CYANOHYDRIN</t>
    </r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</si>
  <si>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</si>
  <si>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</si>
  <si>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ACETONITRILE</t>
    </r>
  </si>
  <si>
    <r>
      <rPr>
        <b/>
        <sz val="9"/>
        <color theme="1"/>
        <rFont val="Calibri"/>
      </rPr>
      <t>ACETONITRILE</t>
    </r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</si>
  <si>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</si>
  <si>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</si>
  <si>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ACETONITRILE (LOW PURITY GRADE)</t>
    </r>
  </si>
  <si>
    <t>ACETONITRILE (LOW PURITY GRADE)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</si>
  <si>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</si>
  <si>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</si>
  <si>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ACID OIL MIXTURE FROM SOYABEAN, CORN (MAIZE) AND SUNFLOWER OIL REFINING</t>
    </r>
  </si>
  <si>
    <t>ACID OIL MIXTURE FROM SOYABEAN, CORN (MAIZE) AND SUNFLOWER OIL REFINING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</si>
  <si>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</si>
  <si>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</si>
  <si>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ACRYLAMIDE SOLUTION (50% OR LESS)</t>
    </r>
  </si>
  <si>
    <r>
      <rPr>
        <b/>
        <sz val="9"/>
        <color theme="1"/>
        <rFont val="Calibri"/>
      </rPr>
      <t>ACRYLAMIDE SOLUTION (50% OR LESS)</t>
    </r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</si>
  <si>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</si>
  <si>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</si>
  <si>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ACRYLIC ACID</t>
    </r>
  </si>
  <si>
    <r>
      <rPr>
        <b/>
        <sz val="9"/>
        <color theme="1"/>
        <rFont val="Calibri"/>
      </rPr>
      <t>ACRYLIC ACID</t>
    </r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</si>
  <si>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</si>
  <si>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</si>
  <si>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ACRYLONITRILE</t>
    </r>
  </si>
  <si>
    <t>ACRYLONITRILE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</si>
  <si>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</si>
  <si>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</si>
  <si>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ADIPONITRILE</t>
    </r>
  </si>
  <si>
    <r>
      <rPr>
        <b/>
        <sz val="9"/>
        <color theme="1"/>
        <rFont val="Calibri"/>
      </rPr>
      <t>ADIPONITRILE</t>
    </r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</si>
  <si>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</si>
  <si>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</si>
  <si>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ALACHLOR TECHNICAL (90% OR MORE)</t>
    </r>
  </si>
  <si>
    <r>
      <rPr>
        <b/>
        <sz val="9"/>
        <color theme="1"/>
        <rFont val="Calibri"/>
      </rPr>
      <t>ALACHLOR TECHNICAL (90% OR MORE)</t>
    </r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</si>
  <si>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</si>
  <si>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</si>
  <si>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ALCOHOL (C9-C11) POLY(2.5-9)ETHOXYLATE</t>
    </r>
  </si>
  <si>
    <r>
      <rPr>
        <b/>
        <sz val="9"/>
        <color theme="1"/>
        <rFont val="Calibri"/>
      </rPr>
      <t>ALCOHOL (C9-C11) POLY(2.5-9)ETHOXYLATE</t>
    </r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</si>
  <si>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</si>
  <si>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</si>
  <si>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ALCOHOL (C10-C18) POLY (7) ETHOXYLATE</t>
    </r>
  </si>
  <si>
    <t>ALCOHOL (C10-C18) POLY (7) ETHOXYLATE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</si>
  <si>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</si>
  <si>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</si>
  <si>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ALCOHOL (C6-C17) (SECONDARY) POLY(3-6)ETHOXYLATES</t>
    </r>
  </si>
  <si>
    <t>ALCOHOL (C6-C17) (SECONDARY) POLY(3-6)ETHOXYLATES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</si>
  <si>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</si>
  <si>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</si>
  <si>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ALCOHOL (C6-C17) (SECONDARY) POLY(7-12)ETHOXYLATES</t>
    </r>
  </si>
  <si>
    <r>
      <rPr>
        <b/>
        <sz val="9"/>
        <color theme="1"/>
        <rFont val="Calibri"/>
      </rPr>
      <t>ALCOHOL (C6-C17) (SECONDARY) POLY(7-12)ETHOXYLATES</t>
    </r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</si>
  <si>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</si>
  <si>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</si>
  <si>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ALCOHOL (C12-C16) POLY(1-6) ETHOXYLATES</t>
    </r>
  </si>
  <si>
    <t>ALCOHOL (C12-C16) POLY(1-6)ETHOXYLATES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</si>
  <si>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</si>
  <si>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</si>
  <si>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ALCOHOL (C12-C16) POLY(20+)ETHOXYLATES</t>
    </r>
  </si>
  <si>
    <r>
      <rPr>
        <b/>
        <sz val="9"/>
        <color theme="1"/>
        <rFont val="Calibri"/>
      </rPr>
      <t>ALCOHOL (C12-C16) POLY(20+)ETHOXYLATES</t>
    </r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</si>
  <si>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</si>
  <si>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</si>
  <si>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ALCOHOL (C12-C16) POLY(7-19)ETHOXYLATES</t>
    </r>
  </si>
  <si>
    <t>ALCOHOL (C12-C16) POLY(7-19)ETHOXYLATES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</si>
  <si>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</si>
  <si>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</si>
  <si>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ALCOHOLS (C12+), PRIMARY, LINEAR</t>
    </r>
  </si>
  <si>
    <r>
      <rPr>
        <b/>
        <sz val="9"/>
        <color theme="1"/>
        <rFont val="Calibri"/>
      </rPr>
      <t>ALCOHOLS (C12+), PRIMARY, LINEAR</t>
    </r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</si>
  <si>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</si>
  <si>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</si>
  <si>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ALCOHOLS (C8-C11), PRIMARY, LINEAR AND ESSENTIALLY LINEAR</t>
    </r>
  </si>
  <si>
    <t>ALCOHOLS (C8-C11), PRIMARY, LINEAR AND ESSENTIALLY LINEAR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</si>
  <si>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</si>
  <si>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</si>
  <si>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ALCOHOLS (C12-C13), PRIMARY, LINEAR AND ESSENTIALLY LINEAR</t>
    </r>
  </si>
  <si>
    <t>ALCOHOLS (C12-C13), PRIMARY, LINEAR AND ESSENTIALLY LINEAR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</si>
  <si>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</si>
  <si>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</si>
  <si>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ALCOHOLS (C14-C18), PRIMARY, LINEAR AND ESSENTIALLY LINEAR</t>
    </r>
  </si>
  <si>
    <t>ALCOHOLS (C14-C18), PRIMARY, LINEAR AND ESSENTIALLY LINEAR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</si>
  <si>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</si>
  <si>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</si>
  <si>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ALKANES (C6-C9)</t>
    </r>
  </si>
  <si>
    <t>ALKANES (C6-C9)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</si>
  <si>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</si>
  <si>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</si>
  <si>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ISO- AND CYCLO-ALKANES (C10-C11)</t>
    </r>
  </si>
  <si>
    <t>ISO- AND CYCLO-ALKANES (C10-C11)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</si>
  <si>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</si>
  <si>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</si>
  <si>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ISO- AND CYCLO-ALKANES (C12+)</t>
    </r>
  </si>
  <si>
    <t>ISO- AND CYCLO-ALKANES (C12+)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</si>
  <si>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</si>
  <si>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</si>
  <si>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N-ALKANES (C9-C11)</t>
    </r>
  </si>
  <si>
    <t>N-ALKANES (C9-C11)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</si>
  <si>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</si>
  <si>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</si>
  <si>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ALKARYL POLYETHERS (C9-C20)</t>
    </r>
  </si>
  <si>
    <t>ALKARYL POLYETHERS (C9-C20)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</si>
  <si>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</si>
  <si>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</si>
  <si>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ALKENOIC ACID, POLYHYDROXY ESTER BORATED</t>
    </r>
  </si>
  <si>
    <t>ALKENOIC ACID, POLYHYDROXY ESTER BORATED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</si>
  <si>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</si>
  <si>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</si>
  <si>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ALKENYL (C11+) AMIDE</t>
    </r>
  </si>
  <si>
    <t>ALKENYL (C11+) AMIDE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</si>
  <si>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</si>
  <si>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</si>
  <si>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ALKENYL (C16-C20) SUCCINIC ANHYDRIDE</t>
    </r>
  </si>
  <si>
    <t>ALKENYL (C16-C20) SUCCINIC ANHYDRIDE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</si>
  <si>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</si>
  <si>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</si>
  <si>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ACRYLATE/VINYLPYRIDINE COPOLYMER IN TOLUENE</t>
    </r>
  </si>
  <si>
    <t>ALKYL ACRYLATE/VINYLPYRIDINE COPOLYMER IN TOLUENE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</si>
  <si>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</si>
  <si>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</si>
  <si>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ALKYL/CYCLO (C4-C5) ALCOHOLS</t>
    </r>
  </si>
  <si>
    <t>ALKYL/CYCLO (C4-C5) ALCOHOLS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</si>
  <si>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</si>
  <si>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</si>
  <si>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ALKYLARYL PHOSPHATE MIXTURES (MORE THAN 40% DIPHENYL TOLYL PHOSPHATE, LESS THAN 0.02% ORTHO-ISOMERS)</t>
    </r>
  </si>
  <si>
    <t>ALKYLARYL PHOSPHATE MIXTURES (MORE THAN 40% DIPHENYL TOLYL PHOSPHATE, LESS THAN 0.02% ORTHO-ISOMERS)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</si>
  <si>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</si>
  <si>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</si>
  <si>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ALKYLATED (C4-C9) HINDERED PHENOLS</t>
    </r>
  </si>
  <si>
    <t>ALKYLATED (C4-C9) HINDERED PHENOLS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</si>
  <si>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</si>
  <si>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</si>
  <si>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ALKYLBENZENE DISTILLATION BOTTOMS</t>
    </r>
  </si>
  <si>
    <t>ALKYLBENZENE DISTILLATION BOTTOMS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</si>
  <si>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</si>
  <si>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</si>
  <si>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ALKYLBENZENE MIXTURES (CONTAINING AT LEAST 50% OF TOLUENE)</t>
    </r>
  </si>
  <si>
    <t>ALKYLBENZENE MIXTURES (CONTAINING AT LEAST 50% OF TOLUENE)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</si>
  <si>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</si>
  <si>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</si>
  <si>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(C3-C4) BENZENES</t>
    </r>
  </si>
  <si>
    <t>ALKYL (C3-C4) BENZENES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</si>
  <si>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</si>
  <si>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</si>
  <si>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(C5-C8) BENZENES</t>
    </r>
  </si>
  <si>
    <t>ALKYL (C5-C8) BENZENES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</si>
  <si>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</si>
  <si>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</si>
  <si>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ALKYL(C9+)BENZENES</t>
    </r>
  </si>
  <si>
    <t>ALKYL(C9+)BENZENES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</si>
  <si>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</si>
  <si>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</si>
  <si>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ALKYLBENZENES MIXTURES (CONTAINING NAPHTHALENE)</t>
    </r>
  </si>
  <si>
    <t>ALKYLBENZENES MIXTURES (CONTAINING NAPHTHALENE)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</si>
  <si>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</si>
  <si>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</si>
  <si>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(C11-C17) BENZENE SULPHONIC ACID</t>
    </r>
  </si>
  <si>
    <t>ALKYL (C11-C17) BENZENE SULPHONIC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</si>
  <si>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</si>
  <si>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</si>
  <si>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ALKYLBENZENE SULPHONIC ACID, SODIUM SALT SOLUTION</t>
    </r>
  </si>
  <si>
    <t>ALKYLBENZENE SULPHONIC ACID, SODIUM SALT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</si>
  <si>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</si>
  <si>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</si>
  <si>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(C12+) DIMETHYLAMINE</t>
    </r>
  </si>
  <si>
    <t>ALKYL (C12+) DIMETHYLAMINE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</si>
  <si>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</si>
  <si>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</si>
  <si>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(C8-C10)/(C12-C14):(40% OR LESS/60% OR MORE) POLYGLUCOSIDE SOLUTION (55% OR LESS)</t>
    </r>
  </si>
  <si>
    <t>ALKYL (C8-C10)/(C12-C14):(40% OR LESS/60% OR MORE) POLYGLUCOSIDE SOLUTION (55%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</si>
  <si>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</si>
  <si>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</si>
  <si>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(C8-C10)/(C12-C14):(60% OR MORE/40% OR LESS) POLYGLUCOSIDE SOLUTION(55% OR LESS)</t>
    </r>
  </si>
  <si>
    <t>ALKYL (C8-C10)/(C12-C14):(60% OR MORE/40% OR LESS) POLYGLUCOSIDE SOLUTION(55%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</si>
  <si>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</si>
  <si>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</si>
  <si>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(C7-C9) NITRATES</t>
    </r>
  </si>
  <si>
    <t>ALKYL (C7-C9) NITRATES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</si>
  <si>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</si>
  <si>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</si>
  <si>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t>ALKYL (C7-C11)PHENOL POLY(4-12) ETHOXYLATE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</si>
  <si>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</si>
  <si>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</si>
  <si>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(C8-C40) PHENOL SULPHIDE</t>
    </r>
  </si>
  <si>
    <t>ALKYL (C8-C40) PHENOL SULPHIDE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</si>
  <si>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</si>
  <si>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</si>
  <si>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(C8-C9) PHENYLAMINE IN AROMATIC SOLVENTS</t>
    </r>
  </si>
  <si>
    <t>ALKYL (C8-C9) PHENYLAMINE IN AROMATIC SOLVENTS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</si>
  <si>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</si>
  <si>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</si>
  <si>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(C9-C15) PHENYL PROPOXYLATE</t>
    </r>
  </si>
  <si>
    <t>ALKYL (C9-C15) PHENYL PROPOXYLATE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</si>
  <si>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</si>
  <si>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</si>
  <si>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(C8-C10) POLYGLUCOSIDE SOLUTION (65% OR LESS)</t>
    </r>
  </si>
  <si>
    <t>ALKYL (C8-C10) POLYGLUCOSIDE SOLUTION (65%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</si>
  <si>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</si>
  <si>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</si>
  <si>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(C8-C10)/(C12-C14):(50%/50%) POLYGLUCOSIDE SOLUTION (55% OR LESS)</t>
    </r>
  </si>
  <si>
    <t>ALKYL (C8-C10)/(C12-C14):(50%/50%) POLYGLUCOSIDE SOLUTION (55%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</si>
  <si>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</si>
  <si>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</si>
  <si>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(C12-C14) POLYGLUCOSIDE SOLUTION (55% OR LESS)</t>
    </r>
  </si>
  <si>
    <t>ALKYL (C12-C14) POLYGLUCOSIDE SOLUTION (55%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</si>
  <si>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</si>
  <si>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</si>
  <si>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t>ALKYL (C12-C16) PROPOXYAMINE ETHOXYLATE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</si>
  <si>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</si>
  <si>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</si>
  <si>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(C10-C15, C12 RICH) PHENOL POLY(4-12)ETHOXYLATE</t>
    </r>
  </si>
  <si>
    <t>ALKYL (C10-C15, C12 RICH) PHENOL POLY(4-12)ETHOXYLATE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</si>
  <si>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</si>
  <si>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</si>
  <si>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(C18+) TOLUENES</t>
    </r>
  </si>
  <si>
    <t>ALKYL (C18+) TOLUENES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</si>
  <si>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</si>
  <si>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</si>
  <si>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t>ALKYL (C18-C28)TOLUENESULPHONIC ACID</t>
  </si>
  <si>
    <t>ALKYL (C18-C28) TOLUENESULPHONIC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</si>
  <si>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</si>
  <si>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</si>
  <si>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t>ALKYL (C18-C28)TOLUENESULPHONIC ACID, CALCIUM SALTS, BORATED</t>
  </si>
  <si>
    <t>ALKYL (C18-C28) TOLUENESULPHONIC ACID, CALCIUM SALTS, BORATED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</si>
  <si>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</si>
  <si>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</si>
  <si>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(C18-C28) TOLUENESULPHONIC ACID, CALCIUM SALTS, HIGH OVERBASE</t>
    </r>
  </si>
  <si>
    <t>ALKYL (C18-C28) TOLUENESULPHONIC ACID, CALCIUM SALTS, HIGH OVERBASE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</si>
  <si>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</si>
  <si>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</si>
  <si>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ALKYL (C18-C28) TOLUENESULPHONIC ACID, CALCIUM SALTS, LOW OVERBASE</t>
    </r>
  </si>
  <si>
    <t>ALKYL (C18-C28) TOLUENESULPHONIC ACID, CALCIUM SALTS, LOW OVERBASE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</si>
  <si>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</si>
  <si>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</si>
  <si>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ALLYL ALCOHOL</t>
    </r>
  </si>
  <si>
    <t>ALLYL ALCOHOL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</si>
  <si>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</si>
  <si>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</si>
  <si>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ALLYL CHLORIDE</t>
    </r>
  </si>
  <si>
    <t>ALLYL CHLORIDE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</si>
  <si>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</si>
  <si>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</si>
  <si>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ALUMINIUM CHLORIDE/HYDROGEN CHLORIDE SOLUTION</t>
    </r>
  </si>
  <si>
    <t>ALUMINIUM CHLORIDE/HYDROGEN CHLORIDE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</si>
  <si>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</si>
  <si>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</si>
  <si>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ALUMINIUM HYDROXIDE, SODIUM HYDROXIDE, SODIUM CARBONATE SOLUTION (40% OR LESS)</t>
    </r>
  </si>
  <si>
    <t>ALUMINIUM HYDROXIDE, SODIUM HYDROXIDE, SODIUM CARBONATE SOLUTION (40%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</si>
  <si>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</si>
  <si>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</si>
  <si>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ALUMINIUM SULPHATE SOLUTION</t>
    </r>
  </si>
  <si>
    <t>ALUMINIUM SULPHATE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</si>
  <si>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</si>
  <si>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</si>
  <si>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2-(2-AMINOETHOXY) ETHANOL</t>
    </r>
  </si>
  <si>
    <t>2-(2-AMINOETHOXY) ETHANOL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</si>
  <si>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</si>
  <si>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</si>
  <si>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AMINOETHYLDIETHANOLAMINE/AMINOETHYLETHANOLA MINE SOLUTION</t>
    </r>
  </si>
  <si>
    <t>AMINOETHYLDIETHANOLAMINE/AMINOETHYLETHANOLA MINE SOLUTION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</si>
  <si>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</si>
  <si>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</si>
  <si>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AMINOETHYL ETHANOLAMINE</t>
    </r>
  </si>
  <si>
    <t>AMINOETHYL ETHANOLAMINE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</si>
  <si>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</si>
  <si>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</si>
  <si>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N-AMINOETHYLPIPERAZINE</t>
    </r>
  </si>
  <si>
    <t>N-AMINOETHYLPIPERAZINE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</si>
  <si>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</si>
  <si>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</si>
  <si>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2-AMINO-2-METHYL-1-PROPANOL</t>
    </r>
  </si>
  <si>
    <t>2-AMINO-2-METHYL-1-PROPANOL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</si>
  <si>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</si>
  <si>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</si>
  <si>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AMMONIA AQUEOUS (28% OR LESS)</t>
    </r>
  </si>
  <si>
    <t>AMMONIA AQUEOUS (28%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</si>
  <si>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</si>
  <si>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</si>
  <si>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AMMONIUM CHLORIDE SOLUTION (LESS THAN 25%) (*)</t>
    </r>
  </si>
  <si>
    <t>AMMONIUM CHLORIDE SOLUTION (LESS THAN 25%) (*)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</si>
  <si>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</si>
  <si>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</si>
  <si>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AMMONIUM NITRATE SOLUTION (93% OR LESS) (*)</t>
    </r>
  </si>
  <si>
    <t>AMMONIUM NITRATE SOLUTION (93% OR LESS) (*)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</si>
  <si>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</si>
  <si>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</si>
  <si>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AMMONIUM SULPHIDE SOLUTION (45% OR LESS) (*)</t>
    </r>
  </si>
  <si>
    <t>AMMONIUM SULPHIDE SOLUTION (45% OR LESS) (*)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</si>
  <si>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</si>
  <si>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</si>
  <si>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AMMONIUM THIOSULPHATE SOLUTION (60% OR LESS)</t>
    </r>
  </si>
  <si>
    <t>AMMONIUM THIOSULPHATE SOLUTION (60% OR LESS)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</si>
  <si>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</si>
  <si>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</si>
  <si>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AMYL ACETATE (ALL ISOMERS)</t>
    </r>
  </si>
  <si>
    <t>AMYL ACETATE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</si>
  <si>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</si>
  <si>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</si>
  <si>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N-AMYL ALCOHOL</t>
    </r>
  </si>
  <si>
    <t>N-AMYL ALCOHOL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</si>
  <si>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</si>
  <si>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</si>
  <si>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AMYL ALCOHOL, PRIMARY</t>
    </r>
  </si>
  <si>
    <t>AMYL ALCOHOL, PRIMARY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</si>
  <si>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</si>
  <si>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</si>
  <si>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SEC-AMYL ALCOHOL</t>
    </r>
  </si>
  <si>
    <t>SEC-AMYL ALCOHOL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</si>
  <si>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</si>
  <si>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</si>
  <si>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TERT-AMYL ALCOHOL</t>
    </r>
  </si>
  <si>
    <t>TERT-AMYL ALCOHOL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</si>
  <si>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</si>
  <si>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</si>
  <si>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TERT-AMYL METHYL ETHER</t>
    </r>
  </si>
  <si>
    <t>TERT-AMYL METHYL ETHER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</si>
  <si>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</si>
  <si>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</si>
  <si>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ANILINE</t>
    </r>
  </si>
  <si>
    <t>ANILINE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</si>
  <si>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</si>
  <si>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</si>
  <si>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AVIATION ALKYLATES (C8 PARAFFINS AND ISO-PARAFFINS BPT 95 - 120°C)</t>
    </r>
  </si>
  <si>
    <t>AVIATION ALKYLATES (C8 PARAFFINS AND ISO-PARAFFINS BPT 95 - 120°C)</t>
  </si>
  <si>
    <t>X</t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</si>
  <si>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</si>
  <si>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BARIUM LONG CHAIN (C11-C50) ALKARYL SULPHONATE</t>
    </r>
  </si>
  <si>
    <t>BARIUM LONG CHAIN (C11-C50) ALKARYL SULPHONATE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</si>
  <si>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</si>
  <si>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</si>
  <si>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BENZENE AND MIXTURES HAVING 10% BENZENE OR MORE (I)</t>
    </r>
  </si>
  <si>
    <t>BENZENE AND MIXTURES HAVING 10% BENZENE OR MORE (I)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</si>
  <si>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</si>
  <si>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</si>
  <si>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BENZENE SULPHONYL CHLORIDE</t>
    </r>
  </si>
  <si>
    <t>BENZENE SULPHONYL CHLORIDE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</si>
  <si>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</si>
  <si>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</si>
  <si>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BENZENETRICARBOXYLIC ACID, TRIOCTYL ESTER</t>
    </r>
  </si>
  <si>
    <t>BENZENETRICARBOXYLIC ACID, TRIOCTYL ESTER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</si>
  <si>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</si>
  <si>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</si>
  <si>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BENZYL ACETATE</t>
    </r>
  </si>
  <si>
    <t>BENZYL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</si>
  <si>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</si>
  <si>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</si>
  <si>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BENZYL ALCOHOL</t>
    </r>
  </si>
  <si>
    <t>BENZYL ALCOHOL</t>
  </si>
  <si>
    <t>Y</t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</si>
  <si>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</si>
  <si>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BENZYL CHLORIDE</t>
    </r>
  </si>
  <si>
    <t>BENZYL CHLORIDE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</si>
  <si>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</si>
  <si>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</si>
  <si>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BIO-FUEL BLENDS OF DIESEL/GAS OIL AND FAME (&gt;25% BUT &lt;99% BY VOLUME)</t>
    </r>
  </si>
  <si>
    <t>BIO-FUEL BLENDS OF DIESEL/GAS OIL AND FAME (&gt;25% BUT &lt;99% BY VOLUME)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</si>
  <si>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</si>
  <si>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</si>
  <si>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BIO-FUEL BLENDS OF DIESEL/GAS OIL AND VEGETABLE OIL (&gt;25% BUT &lt;99% BY VOLUME)</t>
    </r>
  </si>
  <si>
    <t>BIO-FUEL BLENDS OF DIESEL/GAS OIL AND VEGETABLE OIL (&gt;25% BUT &lt;99% BY VOLUME)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</si>
  <si>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</si>
  <si>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</si>
  <si>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BIO-FUEL BLENDS OF GASOLINE AND ETHYL ALCOHOL (&gt;25% BUT &lt;99% BY VOLUME)</t>
    </r>
  </si>
  <si>
    <t>BIO-FUEL BLENDS OF GASOLINE AND ETHYL ALCOHOL (&gt;25% BUT &lt;99% BY VOLUME)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</si>
  <si>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</si>
  <si>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</si>
  <si>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BIS(2-ETHYLHEXYL) TEREPHTHALATE</t>
    </r>
  </si>
  <si>
    <t>BIS(2-ETHYLHEXYL) TEREPHTHALATE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</si>
  <si>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</si>
  <si>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</si>
  <si>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2-BUTOXYETHANOL (58%)/HYPERBRANCHED POLYESTERAMIDE (42%) (MIXTURE)</t>
    </r>
  </si>
  <si>
    <t>2-BUTOXYETHANOL (58%)/HYPERBRANCHED POLYESTERAMIDE (42%) (MIXTURE)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</si>
  <si>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</si>
  <si>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</si>
  <si>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BUTYL ACRYLATE (ALL ISOMERS)</t>
    </r>
  </si>
  <si>
    <t>BUTYL ACRYLATE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</si>
  <si>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</si>
  <si>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</si>
  <si>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BUTYLAMINE (ALL ISOMERS)</t>
    </r>
  </si>
  <si>
    <t>BUTYLAMINE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</si>
  <si>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</si>
  <si>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</si>
  <si>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BUTYLBENZENE (ALL ISOMERS)</t>
    </r>
  </si>
  <si>
    <t>BUTYLBENZENE (ALL ISOMERS)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</si>
  <si>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</si>
  <si>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</si>
  <si>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BUTYL BENZYL PHTHALATE</t>
    </r>
  </si>
  <si>
    <t>BUTYL BENZYL PHTHALATE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</si>
  <si>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</si>
  <si>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</si>
  <si>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BUTYL BUTYRATE (ALL ISOMERS)</t>
    </r>
  </si>
  <si>
    <t>BUTYL BUTYRATE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</si>
  <si>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</si>
  <si>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</si>
  <si>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BUTYL/DECYL/CETYL/EICOSYL METHACRYLATE MIXTURE</t>
    </r>
  </si>
  <si>
    <t>BUTYL/DECYL/CETYL/EICOSYL METHACRYLATE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</si>
  <si>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</si>
  <si>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</si>
  <si>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BUTYLENE GLYCOL</t>
    </r>
  </si>
  <si>
    <t>BUTYLENE GLYCOL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</si>
  <si>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</si>
  <si>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</si>
  <si>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1,2-BUTYLENE OXIDE</t>
    </r>
  </si>
  <si>
    <t>1,2-BUTYLENE OXIDE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</si>
  <si>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</si>
  <si>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</si>
  <si>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N-BUTYL ETHER</t>
    </r>
  </si>
  <si>
    <t>N-BUTYL ETHER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</si>
  <si>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</si>
  <si>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</si>
  <si>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BUTYL METHACRYLATE</t>
    </r>
  </si>
  <si>
    <t>BUTYL METHACRYLATE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</si>
  <si>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</si>
  <si>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</si>
  <si>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BUTYRALDEHYDE (ALL ISOMERS)</t>
    </r>
  </si>
  <si>
    <t>BUTYRALDEHYDE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</si>
  <si>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</si>
  <si>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</si>
  <si>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BUTYRIC ACID</t>
    </r>
  </si>
  <si>
    <t>BUTYRIC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</si>
  <si>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</si>
  <si>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</si>
  <si>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GAMMA-BUTYROLACTONE</t>
    </r>
  </si>
  <si>
    <t>GAMMA-BUTYROLACTONE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</si>
  <si>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</si>
  <si>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</si>
  <si>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CALCIUM ALKARYL SULPHONATE (C11-C50)</t>
    </r>
  </si>
  <si>
    <t>CALCIUM ALKARYL SULPHONATE (C11-C50)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</si>
  <si>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</si>
  <si>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</si>
  <si>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CALCIUM ALKYL (C10-C28) SALICYLATE</t>
    </r>
  </si>
  <si>
    <t>CALCIUM ALKYL (C10-C28) SALICYLATE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</si>
  <si>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</si>
  <si>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</si>
  <si>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CALCIUM HYDROXIDE SLURRY</t>
    </r>
  </si>
  <si>
    <t>CALCIUM HYDROXIDE SLURRY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</si>
  <si>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</si>
  <si>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</si>
  <si>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CALCIUM HYPOCHLORITE SOLUTION (15% OR LESS)</t>
    </r>
  </si>
  <si>
    <t>CALCIUM HYPOCHLORITE SOLUTION (15%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</si>
  <si>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</si>
  <si>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</si>
  <si>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CALCIUM HYPOCHLORITE SOLUTION (MORE THAN 15%)</t>
    </r>
  </si>
  <si>
    <t>CALCIUM HYPOCHLORITE SOLUTION (MORE THAN 15%)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</si>
  <si>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</si>
  <si>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</si>
  <si>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CALCIUM LONG-CHAIN ALKYL (C11-C40) PHENATE</t>
    </r>
  </si>
  <si>
    <t>CALCIUM LONG-CHAIN ALKYL (C11-C40) PHENATE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</si>
  <si>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</si>
  <si>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</si>
  <si>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CALCIUM LONG-CHAIN ALKYL PHENATE SULPHIDE (C8- C40)</t>
    </r>
  </si>
  <si>
    <t>CALCIUM LONG-CHAIN ALKYL PHENATE SULPHIDE (C8- C40)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</si>
  <si>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</si>
  <si>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</si>
  <si>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CALCIUM LONG-CHAIN ALKYL SALICYLATE (C13+)</t>
    </r>
  </si>
  <si>
    <t>CALCIUM LONG-CHAIN ALKYL SALICYLATE (C13+)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</si>
  <si>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</si>
  <si>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</si>
  <si>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CALCIUM LONG-CHAIN ALKYL (C18-C28) SALICYLATE</t>
    </r>
  </si>
  <si>
    <t>CALCIUM LONG-CHAIN ALKYL (C18-C28) SALICYLATE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</si>
  <si>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</si>
  <si>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</si>
  <si>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CALCIUM NITRATE/MAGNESIUM NITRATE/POTASSIUM CHLORIDE SOLUTION</t>
    </r>
  </si>
  <si>
    <t>CALCIUM NITRATE/MAGNESIUM NITRATE/POTASSIUM CHLORIDE SOLUTION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</si>
  <si>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</si>
  <si>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</si>
  <si>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CALCIUM NITRATE SOLUTIONS (50% OR LESS)</t>
    </r>
  </si>
  <si>
    <t>CALCIUM NITRATE SOLUTIONS (50% OR LESS)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</si>
  <si>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</si>
  <si>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</si>
  <si>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CAMELINA OIL</t>
    </r>
  </si>
  <si>
    <t>CAMELINA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</si>
  <si>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</si>
  <si>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</si>
  <si>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</si>
  <si>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EPSILON-CAPROLACTAM (MOLTEN OR AQUEOUS SOLUTIONS)</t>
    </r>
  </si>
  <si>
    <t>EPSILON-CAPROLACTAM (MOLTEN OR AQUEOUS SOLUTIONS)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</si>
  <si>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</si>
  <si>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</si>
  <si>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CARBOLIC OIL</t>
    </r>
  </si>
  <si>
    <t>CARBOLIC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</si>
  <si>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</si>
  <si>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</si>
  <si>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CARBON DISULPHIDE</t>
    </r>
  </si>
  <si>
    <t>CARBON DISULPHIDE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</si>
  <si>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</si>
  <si>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</si>
  <si>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CARBON TETRACHLORIDE</t>
    </r>
  </si>
  <si>
    <t>CARBON TETRACHLORIDE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</si>
  <si>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</si>
  <si>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</si>
  <si>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CASHEW NUT SHELL OIL (UNTREATED)</t>
    </r>
  </si>
  <si>
    <t>CASHEW NUT SHELL OIL (UNTREATED)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</si>
  <si>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</si>
  <si>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</si>
  <si>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CASTOR OIL</t>
    </r>
  </si>
  <si>
    <t>CASTOR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</si>
  <si>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</si>
  <si>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</si>
  <si>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</si>
  <si>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CESIUM FORMATE SOLUTION (*)</t>
    </r>
  </si>
  <si>
    <t>CESIUM FORMATE SOLUTION (*)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</si>
  <si>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</si>
  <si>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</si>
  <si>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CETYL/EICOSYL METHACRYLATE MIXTURE</t>
    </r>
  </si>
  <si>
    <t>CETYL/EICOSYL METHACRYLATE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</si>
  <si>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</si>
  <si>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</si>
  <si>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t>CHLORINATED PARAFFINS (C10-C13)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</si>
  <si>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</si>
  <si>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</si>
  <si>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CHLORINATED PARAFFINS (C14-C17) (WITH 50% CHLORINE OR MORE, AND LESS THAN 1% C13 OR SHORTER CHAINS)</t>
    </r>
  </si>
  <si>
    <t>CHLORINATED PARAFFINS (C14-C17) (WITH 50% CHLORINE OR MORE, AND LESS THAN 1% C13 OR SHORTER CHAINS)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</si>
  <si>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</si>
  <si>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</si>
  <si>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CHLOROACETIC ACID (80% OR LESS)</t>
    </r>
  </si>
  <si>
    <t>CHLOROACETIC ACID (80%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</si>
  <si>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</si>
  <si>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</si>
  <si>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CHLOROBENZENE</t>
    </r>
  </si>
  <si>
    <t>CHLOROBENZENE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</si>
  <si>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</si>
  <si>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</si>
  <si>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CHLOROFORM</t>
    </r>
  </si>
  <si>
    <t>CHLOROFORM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</si>
  <si>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</si>
  <si>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</si>
  <si>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CHLOROHYDRINS (CRUDE)</t>
    </r>
  </si>
  <si>
    <t>CHLOROHYDRINS (CRUDE)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</si>
  <si>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</si>
  <si>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</si>
  <si>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4-CHLORO-2-METHYLPHENOXYACETIC ACID, DIMETHYLAMINE SALT SOLUTION</t>
    </r>
  </si>
  <si>
    <t>4-CHLORO-2-METHYLPHENOXYACETIC ACID, DIMETHYLAMINE SALT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</si>
  <si>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</si>
  <si>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</si>
  <si>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O-CHLORONITROBENZENE</t>
    </r>
  </si>
  <si>
    <t>O-CHLORONITROBENZENE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</si>
  <si>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</si>
  <si>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</si>
  <si>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1-(4-CHLOROPHENYL)-4,4- DIMETHYL-PENTAN-3-ONE</t>
    </r>
  </si>
  <si>
    <t>1-(4-CHLOROPHENYL)-4,4- DIMETHYL-PENTAN-3-ONE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</si>
  <si>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</si>
  <si>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</si>
  <si>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 OR 3-CHLOROPROPIONIC ACID</t>
    </r>
  </si>
  <si>
    <t>2- OR 3-CHLOROPROPIONIC ACID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</si>
  <si>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</si>
  <si>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</si>
  <si>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CHLOROSULPHONIC ACID</t>
    </r>
  </si>
  <si>
    <t>CHLOROSULPHONIC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</si>
  <si>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</si>
  <si>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</si>
  <si>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M-CHLOROTOLUENE</t>
    </r>
  </si>
  <si>
    <t>M-CHLOROTOLUENE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</si>
  <si>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</si>
  <si>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</si>
  <si>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CITRIC ACID (70% OR LESS)</t>
    </r>
  </si>
  <si>
    <t>CITRIC ACID (70% OR LESS)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</si>
  <si>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</si>
  <si>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</si>
  <si>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COAL TAR</t>
    </r>
  </si>
  <si>
    <t>COAL TAR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</si>
  <si>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</si>
  <si>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</si>
  <si>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COAL TAR NAPHTHA SOLVENT</t>
    </r>
  </si>
  <si>
    <t>COAL TAR NAPHTHA SOLVENT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</si>
  <si>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</si>
  <si>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</si>
  <si>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COAL TAR PITCH (MOLTEN) (*)</t>
    </r>
  </si>
  <si>
    <t>COAL TAR PITCH (MOLTEN) (*)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</si>
  <si>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</si>
  <si>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</si>
  <si>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COCOA BUTTER</t>
    </r>
  </si>
  <si>
    <t>COCOA BUTTER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</si>
  <si>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</si>
  <si>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</si>
  <si>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</si>
  <si>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COCONUT OIL</t>
    </r>
  </si>
  <si>
    <t>COCONUT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</si>
  <si>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</si>
  <si>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</si>
  <si>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</si>
  <si>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COCONUT OIL FATTY ACID</t>
    </r>
  </si>
  <si>
    <t>COCONUT OIL FATTY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</si>
  <si>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</si>
  <si>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</si>
  <si>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CORN OIL</t>
    </r>
  </si>
  <si>
    <t>CORN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</si>
  <si>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</si>
  <si>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</si>
  <si>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</si>
  <si>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COTTON SEED OIL</t>
    </r>
  </si>
  <si>
    <t>COTTON SEED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</si>
  <si>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</si>
  <si>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</si>
  <si>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</si>
  <si>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CREOSOTE (COAL TAR)</t>
    </r>
  </si>
  <si>
    <t>CREOSOTE (COAL TAR)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</si>
  <si>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</si>
  <si>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</si>
  <si>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CRESOL/PHENOL/XYLENOL MIXTURE</t>
    </r>
  </si>
  <si>
    <t>CRESOL/PHENOL/XYLENOL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</si>
  <si>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</si>
  <si>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</si>
  <si>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CRESOLS (ALL ISOMERS)</t>
    </r>
  </si>
  <si>
    <t>CRESOLS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</si>
  <si>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</si>
  <si>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</si>
  <si>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CRESYLIC ACID, DEPHENOLIZED</t>
    </r>
  </si>
  <si>
    <t>CRESYLIC ACID, DEPHENOLIZED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</si>
  <si>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</si>
  <si>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</si>
  <si>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CRESYLIC ACID, SODIUM SALT SOLUTION</t>
    </r>
  </si>
  <si>
    <t>CRESYLIC ACID, SODIUM SALT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</si>
  <si>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</si>
  <si>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</si>
  <si>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CROTONALDEHYDE</t>
    </r>
  </si>
  <si>
    <t>CROTONALDEHYDE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</si>
  <si>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</si>
  <si>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</si>
  <si>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1,5,9-CYCLODODECATRIENE</t>
    </r>
  </si>
  <si>
    <t>1,5,9-CYCLODODECATRIENE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</si>
  <si>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</si>
  <si>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</si>
  <si>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CYCLOHEPTANE</t>
    </r>
  </si>
  <si>
    <t>CYCLOHEPTANE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</si>
  <si>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</si>
  <si>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</si>
  <si>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CYCLOHEXANE</t>
    </r>
  </si>
  <si>
    <t>CYCLOHEXANE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</si>
  <si>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</si>
  <si>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</si>
  <si>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CYCLOHEXANE-1,2-DICARBOXYLIC ACID, DIISONONYL ESTER</t>
    </r>
  </si>
  <si>
    <t>CYCLOHEXANE-1,2-DICARBOXYLIC ACID, DIISONONYL ESTER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</si>
  <si>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</si>
  <si>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</si>
  <si>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CYCLOHEXANONE</t>
    </r>
  </si>
  <si>
    <t>CYCLOHEXANONE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</si>
  <si>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</si>
  <si>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</si>
  <si>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CYCLOHEXANONE, CYCLOHEXANOL MIXTURE</t>
    </r>
  </si>
  <si>
    <t>CYCLOHEXANONE, CYCLOHEXANOL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</si>
  <si>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</si>
  <si>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</si>
  <si>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CYCLOHEXYL ACETATE</t>
    </r>
  </si>
  <si>
    <t>CYCLOHEXYL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</si>
  <si>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</si>
  <si>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</si>
  <si>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CYCLOHEXYLAMINE</t>
    </r>
  </si>
  <si>
    <t>CYCLOHEXYLAMINE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</si>
  <si>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</si>
  <si>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</si>
  <si>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1,3-CYCLOPENTADIENE DIMER (MOLTEN)</t>
    </r>
  </si>
  <si>
    <t>1,3-CYCLOPENTADIENE DIMER (MOLTEN)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</si>
  <si>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</si>
  <si>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</si>
  <si>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CYCLOPENTENE</t>
    </r>
  </si>
  <si>
    <t>CYCLOPENTENE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</si>
  <si>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</si>
  <si>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</si>
  <si>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P-CYMENE</t>
    </r>
  </si>
  <si>
    <t>P-CYMENE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</si>
  <si>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</si>
  <si>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</si>
  <si>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DECAHYDRONAPHTHALENE</t>
    </r>
  </si>
  <si>
    <t>DECAHYDRONAPHTHALENE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</si>
  <si>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</si>
  <si>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</si>
  <si>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DECANOIC ACID</t>
    </r>
  </si>
  <si>
    <t>DECANOIC ACID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</si>
  <si>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</si>
  <si>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</si>
  <si>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DECYL ACRYLATE</t>
    </r>
  </si>
  <si>
    <t>DECYL ACRYLATE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</si>
  <si>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</si>
  <si>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</si>
  <si>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DECYL/DODECYL/TETRADECYL ALCOHOL MIXTURE</t>
    </r>
  </si>
  <si>
    <t>DECYL/DODECYL/TETRADECYL ALCOHOL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</si>
  <si>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</si>
  <si>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</si>
  <si>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DECYLOXYTETRAHYDROTHIOPHENE DIOXIDE</t>
    </r>
  </si>
  <si>
    <t>DECYLOXYTETRAHYDROTHIOPHENE DIOXIDE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</si>
  <si>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</si>
  <si>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</si>
  <si>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DIACETONE ALCOHOL</t>
    </r>
  </si>
  <si>
    <t>DIACETONE ALCOHOL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</si>
  <si>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</si>
  <si>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</si>
  <si>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DIALKYL (C7-C13) PHTHALATES</t>
    </r>
  </si>
  <si>
    <t>DIALKYL (C7-C13) PHTHALATES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</si>
  <si>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</si>
  <si>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</si>
  <si>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t>DIALKYL (C9-C10) PHTHALATES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</si>
  <si>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</si>
  <si>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</si>
  <si>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DIALKYL THIOPHOSPHATES SODIUM SALTS SOLUTION</t>
    </r>
  </si>
  <si>
    <t>DIALKYL THIOPHOSPHATES SODIUM SALTS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</si>
  <si>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</si>
  <si>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</si>
  <si>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2,6-DIAMINOHEXANOIC ACID PHOSPHONATE MIXED SALTS SOLUTION</t>
    </r>
  </si>
  <si>
    <t>2,6-DIAMINOHEXANOIC ACID PHOSPHONATE MIXED SALTS SOLUTION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</si>
  <si>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</si>
  <si>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</si>
  <si>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DIBROMOMETHANE</t>
    </r>
  </si>
  <si>
    <t>DIBROMOMETHANE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</si>
  <si>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</si>
  <si>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</si>
  <si>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DIBUTYLAMINE</t>
    </r>
  </si>
  <si>
    <t>DIBUTYLAMINE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</si>
  <si>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</si>
  <si>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</si>
  <si>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DIBUTYL HYDROGEN PHOSPHONATE</t>
    </r>
  </si>
  <si>
    <t>DIBUTYL HYDROGEN PHOSPHONATE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</si>
  <si>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</si>
  <si>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</si>
  <si>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2,6-DI-TERT-BUTYLPHENOL</t>
    </r>
  </si>
  <si>
    <t>2,6-DI-TERT-BUTYLPHENOL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</si>
  <si>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</si>
  <si>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</si>
  <si>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DIBUTYL PHTHALATE</t>
    </r>
  </si>
  <si>
    <t>DIBUTYL PHTHALATE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</si>
  <si>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</si>
  <si>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</si>
  <si>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DICHLOROBENZENE (ALL ISOMERS)</t>
    </r>
  </si>
  <si>
    <t>DICHLOROBENZENE (ALL ISOMERS)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</si>
  <si>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</si>
  <si>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</si>
  <si>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3,4-DICHLORO-1-BUTENE</t>
    </r>
  </si>
  <si>
    <t>3,4-DICHLORO-1-BUTENE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</si>
  <si>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</si>
  <si>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</si>
  <si>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1,1-DICHLOROETHANE</t>
    </r>
  </si>
  <si>
    <t>1,1-DICHLOROETHANE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</si>
  <si>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</si>
  <si>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</si>
  <si>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DICHLOROETHYL ETHER</t>
    </r>
  </si>
  <si>
    <t>DICHLOROETHYL ETHER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</si>
  <si>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</si>
  <si>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</si>
  <si>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t>2,2'-DICHLOROISOPROPYL ETHER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</si>
  <si>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</si>
  <si>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</si>
  <si>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DICHLOROMETHANE</t>
    </r>
  </si>
  <si>
    <t>DICHLOROMETHANE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</si>
  <si>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</si>
  <si>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</si>
  <si>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2,4-DICHLOROPHENOL</t>
    </r>
  </si>
  <si>
    <t>2,4-DICHLOROPHENOL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</si>
  <si>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</si>
  <si>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</si>
  <si>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2,4-DICHLOROPHENOXYACETIC ACID, DIETHANOLAMINE SALT SOLUTION</t>
    </r>
  </si>
  <si>
    <t>2,4-DICHLOROPHENOXYACETIC ACID, DIETHANOLAMINE SALT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</si>
  <si>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</si>
  <si>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</si>
  <si>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2,4-DICHLOROPHENOXYACETIC ACID, DIMETHYLAMINE SALT SOLUTION (70% OR LESS)</t>
    </r>
  </si>
  <si>
    <t>2,4-DICHLOROPHENOXYACETIC ACID, DIMETHYLAMINE SALT SOLUTION (70%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</si>
  <si>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</si>
  <si>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</si>
  <si>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2,4-DICHLOROPHENOXYACETIC ACID, TRIISOPROPANOLAMINE SALT SOLUTION</t>
    </r>
  </si>
  <si>
    <t>2,4-DICHLOROPHENOXYACETIC ACID, TRIISOPROPANOLAMINE SALT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</si>
  <si>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</si>
  <si>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</si>
  <si>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1,1-DICHLOROPROPANE</t>
    </r>
  </si>
  <si>
    <t>1,1-DICHLOROPROPANE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</si>
  <si>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</si>
  <si>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</si>
  <si>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1,2-DICHLOROPROPANE</t>
    </r>
  </si>
  <si>
    <t>1,2-DICHLOROPROPANE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</si>
  <si>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</si>
  <si>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</si>
  <si>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1,3-DICHLOROPROPENE</t>
    </r>
  </si>
  <si>
    <t>1,3-DICHLOROPROPENE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</si>
  <si>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</si>
  <si>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</si>
  <si>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DICHLOROPROPENE/DICHLOROPROPANE MIXTURES</t>
    </r>
  </si>
  <si>
    <t>DICHLOROPROPENE/DICHLOROPROPANE MIXTURES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</si>
  <si>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</si>
  <si>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</si>
  <si>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2,2-DICHLOROPROPIONIC ACID</t>
    </r>
  </si>
  <si>
    <t>2,2-DICHLOROPROPIONIC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</si>
  <si>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</si>
  <si>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</si>
  <si>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DICYCLOPENTADIENE, RESIN GRADE, 81-89%</t>
    </r>
  </si>
  <si>
    <t>DICYCLOPENTADIENE, RESIN GRADE, 81-89%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</si>
  <si>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</si>
  <si>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</si>
  <si>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DIETHANOLAMINE</t>
    </r>
  </si>
  <si>
    <t>DIETHANOLAMINE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</si>
  <si>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</si>
  <si>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</si>
  <si>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DIETHYLAMINE</t>
    </r>
  </si>
  <si>
    <t>DIETHYLAMINE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</si>
  <si>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</si>
  <si>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</si>
  <si>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DIETHYLAMINOETHANOL</t>
    </r>
  </si>
  <si>
    <t>DIETHYLAMINOETHANOL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</si>
  <si>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</si>
  <si>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</si>
  <si>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2,6-DIETHYLANILINE</t>
    </r>
  </si>
  <si>
    <t>2,6-DIETHYLANILINE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</si>
  <si>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</si>
  <si>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</si>
  <si>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DIETHYLBENZENE</t>
    </r>
  </si>
  <si>
    <t>DIETHYLBENZENE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</si>
  <si>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</si>
  <si>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</si>
  <si>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DIETHYLENE GLYCOL</t>
    </r>
  </si>
  <si>
    <t>DIETHYLENE GLYCOL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</si>
  <si>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</si>
  <si>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</si>
  <si>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DIETHYLENE GLYCOL DIBUTYL ETHER</t>
    </r>
  </si>
  <si>
    <t>DIETHYLENE GLYCOL DIBUTYL ETHER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</si>
  <si>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</si>
  <si>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</si>
  <si>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DIETHYLENE GLYCOL DIETHYL ETHER</t>
    </r>
  </si>
  <si>
    <t>DIETHYLENE GLYCOL DIETHYL ETHER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</si>
  <si>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</si>
  <si>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</si>
  <si>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DIETHYLENE GLYCOL PHTHALATE</t>
    </r>
  </si>
  <si>
    <t>DIETHYLENE GLYCOL PHTHALATE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</si>
  <si>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</si>
  <si>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</si>
  <si>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DIETHYLENETRIAMINE</t>
    </r>
  </si>
  <si>
    <t>DIETHYLENETRIAMINE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</si>
  <si>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</si>
  <si>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</si>
  <si>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DIETHYL ETHER (*)</t>
    </r>
  </si>
  <si>
    <t>DIETHYL ETHER (*)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</si>
  <si>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</si>
  <si>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</si>
  <si>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DI-(2-ETHYLHEXYL) ADIPATE</t>
    </r>
  </si>
  <si>
    <t>DI-(2-ETHYLHEXYL) ADIPATE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</si>
  <si>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</si>
  <si>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</si>
  <si>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DI-(2-ETHYLHEXYL) PHOSPHORIC ACID</t>
    </r>
  </si>
  <si>
    <t>DI-(2-ETHYLHEXYL) PHOSPHORIC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</si>
  <si>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</si>
  <si>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</si>
  <si>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DIETHYL PHTHALATE</t>
    </r>
  </si>
  <si>
    <t>DIETHYL PHTHALATE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</si>
  <si>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</si>
  <si>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</si>
  <si>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DIETHYL SULPHATE</t>
    </r>
  </si>
  <si>
    <t>DIETHYL SULPHATE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</si>
  <si>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</si>
  <si>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</si>
  <si>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DIGLYCIDYL ETHER OF BISPHENOL A</t>
    </r>
  </si>
  <si>
    <t>DIGLYCIDYL ETHER OF BISPHENOL A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</si>
  <si>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</si>
  <si>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</si>
  <si>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DIGLYCIDYL ETHER OF BISPHENOL F</t>
    </r>
  </si>
  <si>
    <t>DIGLYCIDYL ETHER OF BISPHENOL F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</si>
  <si>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</si>
  <si>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</si>
  <si>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DIHEPTYL PHTHALATE</t>
    </r>
  </si>
  <si>
    <t>DIHEPTYL PHTHALATE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</si>
  <si>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</si>
  <si>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</si>
  <si>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DI-N-HEXYL ADIPATE</t>
    </r>
  </si>
  <si>
    <t>DI-N-HEXYL ADIPATE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</si>
  <si>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</si>
  <si>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</si>
  <si>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DIHEXYL PHTHALATE</t>
    </r>
  </si>
  <si>
    <t>DIHEXYL PHTHALATE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</si>
  <si>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</si>
  <si>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</si>
  <si>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DIISOBUTYLAMINE</t>
    </r>
  </si>
  <si>
    <t>DIISOBUTYLAMINE</t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</si>
  <si>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</si>
  <si>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DIISOBUTYL KETONE</t>
    </r>
  </si>
  <si>
    <t>DIISOBUTYL KETONE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</si>
  <si>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</si>
  <si>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</si>
  <si>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DIISOBUTYL PHTHALATE</t>
    </r>
  </si>
  <si>
    <t>DIISOBUTYL PHTHALATE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</si>
  <si>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</si>
  <si>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</si>
  <si>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DIISONONYL ADIPATE</t>
    </r>
  </si>
  <si>
    <t>DIISONONYL ADIPATE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</si>
  <si>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</si>
  <si>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</si>
  <si>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DIISOOCTYL PHTHALATE</t>
    </r>
  </si>
  <si>
    <t>DIISOOCTYL PHTHALATE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</si>
  <si>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</si>
  <si>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</si>
  <si>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DIISOPROPYLAMINE</t>
    </r>
  </si>
  <si>
    <t>DIISOPROPYLAMINE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</si>
  <si>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</si>
  <si>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</si>
  <si>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DIISOPROPYLBENZENE (ALL ISOMERS)</t>
    </r>
  </si>
  <si>
    <t>DIISOPROPYLBENZENE (ALL ISOMERS)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</si>
  <si>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</si>
  <si>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</si>
  <si>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DIISOPROPYLNAPHTHALENE</t>
    </r>
  </si>
  <si>
    <t>DIISOPROPYLNAPHTHALENE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</si>
  <si>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</si>
  <si>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</si>
  <si>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N,N-DIMETHYLACETAMIDE</t>
    </r>
  </si>
  <si>
    <t>N,N-DIMETHYLACETAMIDE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</si>
  <si>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</si>
  <si>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</si>
  <si>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N,N-DIMETHYLACETAMIDE SOLUTION (40% OR LESS)</t>
    </r>
  </si>
  <si>
    <t>N,N-DIMETHYLACETAMIDE SOLUTION (40% OR LESS)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</si>
  <si>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</si>
  <si>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</si>
  <si>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DIMETHYLAMINE SOLUTION (45% OR LESS)</t>
    </r>
  </si>
  <si>
    <t>DIMETHYLAMINE SOLUTION (45%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</si>
  <si>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</si>
  <si>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</si>
  <si>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DIMETHYLAMINE SOLUTION (GREATER THAN 45% BUT NOT GREATER THAN 55%)</t>
    </r>
  </si>
  <si>
    <t>DIMETHYLAMINE SOLUTION (GREATER THAN 45% BUT NOT GREATER THAN 55%)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</si>
  <si>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</si>
  <si>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</si>
  <si>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DIMETHYLAMINE SOLUTION (GREATER THAN 55% BUT NOT GREATER THAN 65%)</t>
    </r>
  </si>
  <si>
    <t>DIMETHYLAMINE SOLUTION (GREATER THAN 55% BUT NOT GREATER THAN 65%)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</si>
  <si>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</si>
  <si>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</si>
  <si>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N,N-DIMETHYLCYCLOHEXYLAMINE</t>
    </r>
  </si>
  <si>
    <t>N,N-DIMETHYLCYCLOHEXYLAMINE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</si>
  <si>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</si>
  <si>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</si>
  <si>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DIMETHYL DISULPHIDE</t>
    </r>
  </si>
  <si>
    <t>DIMETHYL DISULPHIDE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</si>
  <si>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</si>
  <si>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</si>
  <si>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N,N-DIMETHYLDODECYLAMINE</t>
    </r>
  </si>
  <si>
    <t>N,N-DIMETHYLDODECYLAMINE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</si>
  <si>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</si>
  <si>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</si>
  <si>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DIMETHYLETHANOLAMINE</t>
    </r>
  </si>
  <si>
    <t>DIMETHYLETHANOLAMINE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</si>
  <si>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</si>
  <si>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</si>
  <si>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DIMETHYLFORMAMIDE</t>
    </r>
  </si>
  <si>
    <t>DIMETHYLFORMAMIDE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</si>
  <si>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</si>
  <si>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</si>
  <si>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DIMETHYL GLUTARATE</t>
    </r>
  </si>
  <si>
    <t>DIMETHYL GLUTARATE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</si>
  <si>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</si>
  <si>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</si>
  <si>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DIMETHYL HYDROGEN PHOSPHITE</t>
    </r>
  </si>
  <si>
    <t>DIMETHYL HYDROGEN PHOSPHITE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</si>
  <si>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</si>
  <si>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</si>
  <si>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DIMETHYL OCTANOIC ACID</t>
    </r>
  </si>
  <si>
    <t>DIMETHYL OCTANOIC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</si>
  <si>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</si>
  <si>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</si>
  <si>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DIMETHYL PHTHALATE</t>
    </r>
  </si>
  <si>
    <t>DIMETHYL PHTHALATE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</si>
  <si>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</si>
  <si>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</si>
  <si>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DINITROTOLUENE (MOLTEN)</t>
    </r>
  </si>
  <si>
    <t>DINITROTOLUENE (MOLTEN)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</si>
  <si>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</si>
  <si>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</si>
  <si>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DINONYL PHTHALATE</t>
    </r>
  </si>
  <si>
    <t>DINONYL PHTHALATE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</si>
  <si>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</si>
  <si>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</si>
  <si>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DIOCTYL PHTHALATE</t>
    </r>
  </si>
  <si>
    <t>DIOCTYL PHTHALATE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</si>
  <si>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</si>
  <si>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</si>
  <si>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1,4-DIOXANE</t>
    </r>
  </si>
  <si>
    <t>1,4-DIOXANE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</si>
  <si>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</si>
  <si>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</si>
  <si>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DIPENTENE</t>
    </r>
  </si>
  <si>
    <t>DIPENTENE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</si>
  <si>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</si>
  <si>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</si>
  <si>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DIPHENYL</t>
    </r>
  </si>
  <si>
    <t>DIPHENYL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</si>
  <si>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</si>
  <si>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</si>
  <si>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DIPHENYLAMINE (MOLTEN)</t>
    </r>
  </si>
  <si>
    <t>DIPHENYLAMINE (MOLTEN)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</si>
  <si>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</si>
  <si>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</si>
  <si>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DIPHENYLAMINE, REACTION PRODUCT WITH 2,2,4- TRIMETHYLPENTENE</t>
    </r>
  </si>
  <si>
    <t>DIPHENYLAMINE, REACTION PRODUCT WITH 2,2,4- TRIMETHYLPENTENE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</si>
  <si>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</si>
  <si>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</si>
  <si>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DIPHENYLAMINES, ALKYLATED</t>
    </r>
  </si>
  <si>
    <t>DIPHENYLAMINES, ALKYLATED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</si>
  <si>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</si>
  <si>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</si>
  <si>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DIPHENYL/DIPHENYL ETHER MIXTURES</t>
    </r>
  </si>
  <si>
    <t>DIPHENYL/DIPHENYL ETHER MIXTURES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</si>
  <si>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</si>
  <si>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</si>
  <si>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DIPHENYLMETHANE DIISOCYANATE</t>
    </r>
  </si>
  <si>
    <t>DIPHENYLMETHANE DIISOCYANATE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</si>
  <si>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</si>
  <si>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</si>
  <si>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DIPHENYLOL PROPANE-EPICHLOROHYDRIN RESINS</t>
    </r>
  </si>
  <si>
    <t>DIPHENYLOL PROPANE-EPICHLOROHYDRIN RESINS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</si>
  <si>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</si>
  <si>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</si>
  <si>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DI-N-PROPYLAMINE</t>
    </r>
  </si>
  <si>
    <t>DI-N-PROPYLAMINE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</si>
  <si>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</si>
  <si>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</si>
  <si>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DITHIOCARBAMATE ESTER (C7-C35)</t>
    </r>
  </si>
  <si>
    <t>DITHIOCARBAMATE ESTER (C7-C35)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</si>
  <si>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</si>
  <si>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</si>
  <si>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DITRIDECYL ADIPATE</t>
    </r>
  </si>
  <si>
    <t>DITRIDECYL ADIPATE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</si>
  <si>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</si>
  <si>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</si>
  <si>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DITRIDECYL PHTHALATE</t>
    </r>
  </si>
  <si>
    <t>DITRIDECYL PHTHALATE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</si>
  <si>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</si>
  <si>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</si>
  <si>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DIUNDECYL PHTHALATE</t>
    </r>
  </si>
  <si>
    <t>DIUNDECYL PHTHALATE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</si>
  <si>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</si>
  <si>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</si>
  <si>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DODECANE (ALL ISOMERS)</t>
    </r>
  </si>
  <si>
    <t>DODECANE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</si>
  <si>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</si>
  <si>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</si>
  <si>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TERT-DODECANETHIOL</t>
    </r>
  </si>
  <si>
    <t>TERT-DODECANETHIOL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</si>
  <si>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</si>
  <si>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</si>
  <si>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DODECENE (ALL ISOMERS)</t>
    </r>
  </si>
  <si>
    <t>DODECENE (ALL ISOMERS)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</si>
  <si>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</si>
  <si>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</si>
  <si>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1-DODECENE</t>
    </r>
  </si>
  <si>
    <t>1-DODECENE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</si>
  <si>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</si>
  <si>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</si>
  <si>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DODECYL ALCOHOL</t>
    </r>
  </si>
  <si>
    <t>DODECYL ALCOHOL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</si>
  <si>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</si>
  <si>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</si>
  <si>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DODECYLAMINE/TETRADECYLAMINE MIXTURE</t>
    </r>
  </si>
  <si>
    <t>DODECYLAMINE/TETRADECYLAMINE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</si>
  <si>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</si>
  <si>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</si>
  <si>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DODECYLBENZENE</t>
    </r>
  </si>
  <si>
    <t>DODECYLBENZENE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</si>
  <si>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</si>
  <si>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</si>
  <si>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DODECYL DIPHENYL ETHER DISULPHONATE SOLUTION</t>
    </r>
  </si>
  <si>
    <t>DODECYL DIPHENYL ETHER DISULPHONATE SOLUTION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</si>
  <si>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</si>
  <si>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</si>
  <si>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N-DODECYL MERCAPTAN</t>
    </r>
  </si>
  <si>
    <t>N-DODECYL MERCAPTAN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</si>
  <si>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</si>
  <si>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</si>
  <si>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DODECYL METHACRYLATE</t>
    </r>
  </si>
  <si>
    <t>DODECYL METHACRYLATE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</si>
  <si>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</si>
  <si>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</si>
  <si>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DODECYL/OCTADECYL METHACRYLATE MIXTURE</t>
    </r>
  </si>
  <si>
    <t>DODECYL/OCTADECYL METHACRYLATE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</si>
  <si>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</si>
  <si>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</si>
  <si>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DODECYL/PENTADECYL METHACRYLATE MIXTURE</t>
    </r>
  </si>
  <si>
    <t>DODECYL/PENTADECYL METHACRYLATE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</si>
  <si>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</si>
  <si>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</si>
  <si>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DODECYL PHENOL</t>
    </r>
  </si>
  <si>
    <t>DODECYL PHENOL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</si>
  <si>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</si>
  <si>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</si>
  <si>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DODECYL XYLENE</t>
    </r>
  </si>
  <si>
    <t>DODECYL XYLENE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</si>
  <si>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</si>
  <si>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</si>
  <si>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DRILLING BRINES (CONTAINING CALCIUM BROMIDE)</t>
    </r>
  </si>
  <si>
    <t>DRILLING BRINES (CONTAINING CALCIUM BROMIDE)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</si>
  <si>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</si>
  <si>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</si>
  <si>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DRILLING BRINES (CONTAINING ZINC CHLORIDE)</t>
    </r>
  </si>
  <si>
    <t>DRILLING BRINES (CONTAINING ZINC CHLORIDE)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</si>
  <si>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</si>
  <si>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</si>
  <si>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EPICHLOROHYDRIN</t>
    </r>
  </si>
  <si>
    <t>EPICHLOROHYDRIN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</si>
  <si>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</si>
  <si>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</si>
  <si>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ETHANOLAMINE</t>
    </r>
  </si>
  <si>
    <t>ETHANOLAMINE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</si>
  <si>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</si>
  <si>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</si>
  <si>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2-ETHOXYETHYL ACETATE</t>
    </r>
  </si>
  <si>
    <t>2-ETHOXYETHYL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</si>
  <si>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</si>
  <si>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</si>
  <si>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ETHOXYLATED LONG CHAIN (C16+) ALKYLOXYALKYLAMINE</t>
    </r>
  </si>
  <si>
    <t>ETHOXYLATED LONG CHAIN (C16+) ALKYLOXYALKYLAMINE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</si>
  <si>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</si>
  <si>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</si>
  <si>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ETHOXYLATED TALLOW AMINE (&gt; 95%)</t>
    </r>
  </si>
  <si>
    <t>ETHOXYLATED TALLOW AMINE (&gt; 95%)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</si>
  <si>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</si>
  <si>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</si>
  <si>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 ACETATE</t>
    </r>
  </si>
  <si>
    <t>ETHYL ACETATE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</si>
  <si>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</si>
  <si>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</si>
  <si>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 ACETOACETATE</t>
    </r>
  </si>
  <si>
    <t>ETHYL ACETOACETATE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</si>
  <si>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</si>
  <si>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</si>
  <si>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 ACRYLATE</t>
    </r>
  </si>
  <si>
    <t>ETHYL ACRYLATE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</si>
  <si>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</si>
  <si>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</si>
  <si>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ETHYLAMINE (*)</t>
    </r>
  </si>
  <si>
    <t>ETHYLAMINE (*)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</si>
  <si>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</si>
  <si>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</si>
  <si>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ETHYLAMINE SOLUTIONS (72% OR LESS)</t>
    </r>
  </si>
  <si>
    <t>ETHYLAMINE SOLUTIONS (72%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</si>
  <si>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</si>
  <si>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</si>
  <si>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 AMYL KETONE</t>
    </r>
  </si>
  <si>
    <t>ETHYL AMYL KETONE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</si>
  <si>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</si>
  <si>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</si>
  <si>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ETHYLBENZENE</t>
    </r>
  </si>
  <si>
    <t>ETHYLBENZENE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</si>
  <si>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</si>
  <si>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</si>
  <si>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 TERT-BUTYL ETHER</t>
    </r>
  </si>
  <si>
    <t>ETHYL TERT-BUTYL ETHER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</si>
  <si>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</si>
  <si>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</si>
  <si>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 BUTYRATE</t>
    </r>
  </si>
  <si>
    <t>ETHYL BUTYRATE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</si>
  <si>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</si>
  <si>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</si>
  <si>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ETHYLCYCLOHEXANE</t>
    </r>
  </si>
  <si>
    <t>ETHYLCYCLOHEXANE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</si>
  <si>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</si>
  <si>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</si>
  <si>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N-ETHYLCYCLOHEXYLAMINE</t>
    </r>
  </si>
  <si>
    <t>N-ETHYLCYCLOHEXYLAMINE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</si>
  <si>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</si>
  <si>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</si>
  <si>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S-ETHYL DIPROPYLTHIOCARBAMATE</t>
    </r>
  </si>
  <si>
    <t>S-ETHYL DIPROPYLTHIOCARBAMATE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</si>
  <si>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</si>
  <si>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</si>
  <si>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CARBONATE</t>
    </r>
  </si>
  <si>
    <t>ETHYLENE CARBONATE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</si>
  <si>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</si>
  <si>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</si>
  <si>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CHLOROHYDRIN</t>
    </r>
  </si>
  <si>
    <t>ETHYLENE CHLOROHYDRIN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</si>
  <si>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</si>
  <si>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</si>
  <si>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CYANOHYDRIN</t>
    </r>
  </si>
  <si>
    <t>ETHYLENE CYANOHYDRIN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</si>
  <si>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</si>
  <si>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</si>
  <si>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ETHYLENEDIAMINE</t>
    </r>
  </si>
  <si>
    <t>ETHYLENEDIAMINE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</si>
  <si>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</si>
  <si>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</si>
  <si>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ETHYLENEDIAMINETETRAACETIC ACID, TETRASODIUM SALT SOLUTION</t>
    </r>
  </si>
  <si>
    <t>ETHYLENEDIAMINETETRAACETIC ACID, TETRASODIUM SALT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</si>
  <si>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</si>
  <si>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</si>
  <si>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DIBROMIDE</t>
    </r>
  </si>
  <si>
    <t>ETHYLENE DIBROMIDE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</si>
  <si>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</si>
  <si>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</si>
  <si>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DICHLORIDE</t>
    </r>
  </si>
  <si>
    <t>ETHYLENE DICHLORIDE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</si>
  <si>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</si>
  <si>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</si>
  <si>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GLYCOL</t>
    </r>
  </si>
  <si>
    <t>ETHYLENE GLYCOL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</si>
  <si>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</si>
  <si>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</si>
  <si>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GLYCOL ACETATE</t>
    </r>
  </si>
  <si>
    <t>ETHYLENE GLYCOL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</si>
  <si>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</si>
  <si>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</si>
  <si>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GLYCOL BUTYL ETHER ACETATE</t>
    </r>
  </si>
  <si>
    <t>ETHYLENE GLYCOL BUTYL ETHER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</si>
  <si>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</si>
  <si>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</si>
  <si>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GLYCOL DIACETATE</t>
    </r>
  </si>
  <si>
    <t>ETHYLENE GLYCOL DIACETATE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</si>
  <si>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</si>
  <si>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</si>
  <si>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GLYCOL METHYL ETHER ACETATE</t>
    </r>
  </si>
  <si>
    <t>ETHYLENE GLYCOL METHYL ETHER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</si>
  <si>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</si>
  <si>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</si>
  <si>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GLYCOL MONOALKYL ETHERS</t>
    </r>
  </si>
  <si>
    <t>ETHYLENE GLYCOL MONOALKYL ETHERS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</si>
  <si>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</si>
  <si>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</si>
  <si>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GLYCOL PHENYL ETHER</t>
    </r>
  </si>
  <si>
    <t>ETHYLENE GLYCOL PHENYL ETHER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</si>
  <si>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</si>
  <si>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</si>
  <si>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GLYCOL PHENYL ETHER/DIETHYLENE GLYCOL PHENYL ETHER MIXTURE</t>
    </r>
  </si>
  <si>
    <t>ETHYLENE GLYCOL PHENYL ETHER/DIETHYLENE GLYCOL PHENYL ETHER MIXTURE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</si>
  <si>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</si>
  <si>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</si>
  <si>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GLYCOL (&gt;75%)/SODIUM ALKYL CARBOXYLATES/BORAX MIXTURE</t>
    </r>
  </si>
  <si>
    <t>ETHYLENE GLYCOL (&gt;75%)/SODIUM ALKYL CARBOXYLATES/BORAX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</si>
  <si>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</si>
  <si>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</si>
  <si>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GLYCOL (&gt;85%)/SODIUM ALKYL CARBOXYLATES MIXTURE</t>
    </r>
  </si>
  <si>
    <t>ETHYLENE GLYCOL (&gt;85%)/SODIUM ALKYL CARBOXYLATES MIXTURE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</si>
  <si>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</si>
  <si>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</si>
  <si>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 OXIDE/PROPYLENE OXIDE MIXTURE WITH AN ETHYLENE OXIDE CONTENT OF NOT MORE THAN 30% BY MASS</t>
    </r>
  </si>
  <si>
    <t>ETHYLENE OXIDE/PROPYLENE OXIDE MIXTURE WITH AN ETHYLENE OXIDE CONTENT OF NOT MORE THAN 30% BY MASS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</si>
  <si>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</si>
  <si>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</si>
  <si>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ETHYLENE-VINYL ACETATE COPOLYMER (EMULSION)</t>
    </r>
  </si>
  <si>
    <t>ETHYLENE-VINYL ACETATE COPOLYMER (EMULSION)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</si>
  <si>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</si>
  <si>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</si>
  <si>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2-ETHYLHEXANOIC ACID</t>
    </r>
  </si>
  <si>
    <t>2-ETHYLHEXANOIC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</si>
  <si>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</si>
  <si>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</si>
  <si>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2-ETHYLHEXYL ACRYLATE</t>
    </r>
  </si>
  <si>
    <t>2-ETHYLHEXYL ACRYLATE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</si>
  <si>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</si>
  <si>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</si>
  <si>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2-ETHYLHEXYLAMINE</t>
    </r>
  </si>
  <si>
    <t>2-ETHYLHEXYLAMINE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</si>
  <si>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</si>
  <si>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</si>
  <si>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ETHYLIDENE NORBORNENE</t>
    </r>
  </si>
  <si>
    <t>ETHYLIDENE NORBORNENE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</si>
  <si>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</si>
  <si>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</si>
  <si>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 METHACRYLATE</t>
    </r>
  </si>
  <si>
    <t>ETHYL METHACRYLATE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</si>
  <si>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</si>
  <si>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</si>
  <si>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N-ETHYLMETHYLALLYLAMINE</t>
    </r>
  </si>
  <si>
    <t>N-ETHYLMETHYLALLYLAMINE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</si>
  <si>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</si>
  <si>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</si>
  <si>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ETHYL PROPIONATE</t>
    </r>
  </si>
  <si>
    <t>ETHYL PROPIONATE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</si>
  <si>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</si>
  <si>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</si>
  <si>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2-ETHYL-3-PROPYLACROLEIN</t>
    </r>
  </si>
  <si>
    <t>2-ETHYL-3-PROPYLACROLEIN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</si>
  <si>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</si>
  <si>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</si>
  <si>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FATTY ACID (SATURATED C13+)</t>
    </r>
  </si>
  <si>
    <t>FATTY ACID (SATURATED C13+)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</si>
  <si>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</si>
  <si>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</si>
  <si>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FATTY ACID METHYL ESTERS (M)</t>
    </r>
  </si>
  <si>
    <t>FATTY ACID METHYL ESTERS (M)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</si>
  <si>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</si>
  <si>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</si>
  <si>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FATTY ACIDS, (C8-C10)</t>
    </r>
  </si>
  <si>
    <t>FATTY ACIDS, (C8-C10)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</si>
  <si>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</si>
  <si>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</si>
  <si>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FATTY ACIDS, (C12+)</t>
    </r>
  </si>
  <si>
    <t>FATTY ACIDS, (C12+)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</si>
  <si>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</si>
  <si>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</si>
  <si>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FATTY ACIDS, ESSENTIALLY LINEAR (C6-C18) 2- ETHYLHEXYL ESTER</t>
    </r>
  </si>
  <si>
    <t>FATTY ACIDS, ESSENTIALLY LINEAR (C6-C18) 2- ETHYLHEXYL ESTER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</si>
  <si>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</si>
  <si>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</si>
  <si>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FERRIC CHLORIDE SOLUTIONS</t>
    </r>
  </si>
  <si>
    <t>FERRIC CHLORIDE SOLUTIONS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</si>
  <si>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</si>
  <si>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</si>
  <si>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FERRIC NITRATE/NITRIC ACID SOLUTION</t>
    </r>
  </si>
  <si>
    <t>FERRIC NITRATE/NITRIC ACID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</si>
  <si>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</si>
  <si>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</si>
  <si>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FISH OIL</t>
    </r>
  </si>
  <si>
    <t>FISH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</si>
  <si>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</si>
  <si>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</si>
  <si>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</si>
  <si>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FLUOROSILICIC ACID SOLUTION (20-30%)</t>
    </r>
  </si>
  <si>
    <t>FLUOROSILICIC ACID SOLUTION (20-30%)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</si>
  <si>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</si>
  <si>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</si>
  <si>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FORMALDEHYDE SOLUTIONS (45% OR LESS)</t>
    </r>
  </si>
  <si>
    <t>FORMALDEHYDE SOLUTIONS (45%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</si>
  <si>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</si>
  <si>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</si>
  <si>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FORMAMIDE</t>
    </r>
  </si>
  <si>
    <t>FORMAMIDE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</si>
  <si>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</si>
  <si>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</si>
  <si>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FORMIC ACID (85% OR LESS ACID)</t>
    </r>
  </si>
  <si>
    <t>FORMIC ACID (85% OR LESS ACID)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</si>
  <si>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</si>
  <si>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</si>
  <si>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FORMIC ACID (OVER 85%)</t>
    </r>
  </si>
  <si>
    <t>FORMIC ACID (OVER 85%)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</si>
  <si>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</si>
  <si>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</si>
  <si>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FORMIC ACID MIXTURE (CONTAINING UP TO 18% PROPIONIC ACID AND UP TO 25% SODIUM FORMATE)</t>
    </r>
  </si>
  <si>
    <t>FORMIC ACID MIXTURE (CONTAINING UP TO 18% PROPIONIC ACID AND UP TO 25% SODIUM FORMATE)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</si>
  <si>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</si>
  <si>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</si>
  <si>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FURFURAL</t>
    </r>
  </si>
  <si>
    <t>FURFURAL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</si>
  <si>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</si>
  <si>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</si>
  <si>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FURFURYL ALCOHOL</t>
    </r>
  </si>
  <si>
    <t>FURFURYL ALCOHOL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</si>
  <si>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</si>
  <si>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</si>
  <si>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GLUCITOL/GLYCEROL BLEND PROPOXYLATED (CONTAINING 10% OR MORE AMINES)</t>
    </r>
  </si>
  <si>
    <t>GLUCITOL/GLYCEROL BLEND PROPOXYLATED (CONTAINING 10% OR MORE AMINES)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</si>
  <si>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</si>
  <si>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</si>
  <si>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GLUCITOL/GLYCEROL BLEND PROPOXYLATED (CONTAINING LESS THAN 10% AMINES)</t>
    </r>
  </si>
  <si>
    <t>GLUCITOL/GLYCEROL BLEND PROPOXYLATED (CONTAINING LESS THAN 10% AMINES)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</si>
  <si>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</si>
  <si>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</si>
  <si>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GLUTARALDEHYDE SOLUTIONS (50% OR LESS)</t>
    </r>
  </si>
  <si>
    <t>GLUTARALDEHYDE SOLUTIONS (50%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</si>
  <si>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</si>
  <si>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</si>
  <si>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GLYCERINE</t>
    </r>
  </si>
  <si>
    <t>GLYCERINE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</si>
  <si>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</si>
  <si>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</si>
  <si>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GLYCEROL MONOOLEATE</t>
    </r>
  </si>
  <si>
    <t>GLYCEROL MONOOLEATE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</si>
  <si>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</si>
  <si>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</si>
  <si>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GLYCEROL PROPOXYLATED</t>
    </r>
  </si>
  <si>
    <t>GLYCEROL PROPOXYLATED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</si>
  <si>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</si>
  <si>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</si>
  <si>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GLYCERYL TRIACETATE</t>
    </r>
  </si>
  <si>
    <t>GLYCERYL TRIACETATE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</si>
  <si>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</si>
  <si>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</si>
  <si>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GLYCIDYL ESTER OF C10 TRIALKYLACETIC ACID</t>
    </r>
  </si>
  <si>
    <t>GLYCIDYL ESTER OF C10 TRIALKYLACETIC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</si>
  <si>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</si>
  <si>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</si>
  <si>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GLYCINE, SODIUM SALT SOLUTION</t>
    </r>
  </si>
  <si>
    <t>GLYCINE, SODIUM SALT SOLUTION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</si>
  <si>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</si>
  <si>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</si>
  <si>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GLYCOLIC ACID SOLUTION (70% OR LESS)</t>
    </r>
  </si>
  <si>
    <t>GLYCOLIC ACID SOLUTION (70% OR LESS)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</si>
  <si>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</si>
  <si>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</si>
  <si>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GLYOXAL SOLUTION (40% OR LESS)</t>
    </r>
  </si>
  <si>
    <t>GLYOXAL SOLUTION (40%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</si>
  <si>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</si>
  <si>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</si>
  <si>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GLYOXYLIC ACID SOLUTION (50 % OR LESS)</t>
    </r>
  </si>
  <si>
    <t>GLYOXYLIC ACID SOLUTION (50 %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</si>
  <si>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</si>
  <si>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</si>
  <si>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GLYPHOSATE SOLUTION (NOT CONTAINING SURFACTANT)</t>
    </r>
  </si>
  <si>
    <t>GLYPHOSATE SOLUTION (NOT CONTAINING SURFACTANT)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</si>
  <si>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</si>
  <si>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</si>
  <si>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GRAPE SEED OIL</t>
    </r>
  </si>
  <si>
    <t>GRAPE SEED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</si>
  <si>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</si>
  <si>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</si>
  <si>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</si>
  <si>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N-HEPTANOIC ACID</t>
    </r>
  </si>
  <si>
    <t>N-HEPTANOIC ACID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</si>
  <si>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</si>
  <si>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</si>
  <si>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HEPTANOL (ALL ISOMERS) (D)</t>
    </r>
  </si>
  <si>
    <t>HEPTANOL (ALL ISOMERS) (D)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</si>
  <si>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</si>
  <si>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</si>
  <si>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HEPTYL ACETATE</t>
    </r>
  </si>
  <si>
    <t>HEPTYL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</si>
  <si>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</si>
  <si>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</si>
  <si>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1-HEXADECYLNAPHTHALENE / 1,4- BIS(HEXADECYL)NAPHTHALENE MIXTURE</t>
    </r>
  </si>
  <si>
    <t>1-HEXADECYLNAPHTHALENE / 1,4- BIS(HEXADECYL)NAPHTHALENE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</si>
  <si>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</si>
  <si>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</si>
  <si>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HEXAMETHYLENEDIAMINE (MOLTEN)</t>
    </r>
  </si>
  <si>
    <t>HEXAMETHYLENEDIAMINE (MOLTEN)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</si>
  <si>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</si>
  <si>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</si>
  <si>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HEXAMETHYLENEDIAMINE SOLUTION</t>
    </r>
  </si>
  <si>
    <t>HEXAMETHYLENEDIAMINE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</si>
  <si>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</si>
  <si>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</si>
  <si>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HEXAMETHYLENE DIISOCYANATE</t>
    </r>
  </si>
  <si>
    <t>HEXAMETHYLENE DIISOCYANATE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</si>
  <si>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</si>
  <si>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</si>
  <si>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HEXAMETHYLENE GLYCOL</t>
    </r>
  </si>
  <si>
    <t>HEXAMETHYLENE GLYCOL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</si>
  <si>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</si>
  <si>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</si>
  <si>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HEXAMETHYLENEIMINE</t>
    </r>
  </si>
  <si>
    <t>HEXAMETHYLENEIMINE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</si>
  <si>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</si>
  <si>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</si>
  <si>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HEXAMETHYLENETETRAMINE SOLUTIONS</t>
    </r>
  </si>
  <si>
    <t>HEXAMETHYLENETETRAMINE SOLUTIONS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</si>
  <si>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</si>
  <si>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</si>
  <si>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HEXANE (ALL ISOMERS)</t>
    </r>
  </si>
  <si>
    <t>HEXANE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</si>
  <si>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</si>
  <si>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</si>
  <si>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1,6-HEXANEDIOL, DISTILLATION OVERHEADS</t>
    </r>
  </si>
  <si>
    <t>1,6-HEXANEDIOL, DISTILLATION OVERHEADS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</si>
  <si>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</si>
  <si>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</si>
  <si>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HEXANOIC ACID</t>
    </r>
  </si>
  <si>
    <t>HEXANOIC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</si>
  <si>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</si>
  <si>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</si>
  <si>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HEXANOL</t>
    </r>
  </si>
  <si>
    <t>HEXANOL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</si>
  <si>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</si>
  <si>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</si>
  <si>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HEXENE (ALL ISOMERS)</t>
    </r>
  </si>
  <si>
    <t>HEXENE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</si>
  <si>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</si>
  <si>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</si>
  <si>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HEXYL ACETATE</t>
    </r>
  </si>
  <si>
    <t>HEXYL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</si>
  <si>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</si>
  <si>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</si>
  <si>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HEXYLENE GLYCOL</t>
    </r>
  </si>
  <si>
    <t>HEXYLENE GLYCOL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</si>
  <si>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</si>
  <si>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</si>
  <si>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HYDROCARBON WAX</t>
    </r>
  </si>
  <si>
    <t>HYDROCARBON WAX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</si>
  <si>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</si>
  <si>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</si>
  <si>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HYDROCHLORIC ACID (*)</t>
    </r>
  </si>
  <si>
    <t>HYDROCHLORIC ACID (*)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</si>
  <si>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</si>
  <si>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</si>
  <si>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HYDROGEN PEROXIDE SOLUTIONS (OVER 60% BUT NOT OVER 70% BY MASS)</t>
    </r>
  </si>
  <si>
    <t>HYDROGEN PEROXIDE SOLUTIONS (OVER 60% BUT NOT OVER 70% BY MASS)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</si>
  <si>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</si>
  <si>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</si>
  <si>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HYDROGEN PEROXIDE SOLUTIONS (OVER 8% BUT NOT OVER 60% BY MASS)</t>
    </r>
  </si>
  <si>
    <t>HYDROGEN PEROXIDE SOLUTIONS (OVER 8% BUT NOT OVER 60% BY MASS)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</si>
  <si>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</si>
  <si>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</si>
  <si>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2-HYDROXYETHYL ACRYLATE</t>
    </r>
  </si>
  <si>
    <t>2-HYDROXYETHYL ACRYLATE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</si>
  <si>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</si>
  <si>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</si>
  <si>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N-(HYDROXYETHYL)ETHYLENEDIAMINETRIACETIC ACID, TRISODIUM SALT SOLUTION</t>
    </r>
  </si>
  <si>
    <t>N-(HYDROXYETHYL)ETHYLENEDIAMINETRIACETIC ACID, TRISODIUM SALT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</si>
  <si>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</si>
  <si>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</si>
  <si>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2-HYDROXY-4-(METHYLTHIO)BUTANOIC ACID</t>
    </r>
  </si>
  <si>
    <t>2-HYDROXY-4-(METHYLTHIO)BUTANOIC ACID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</si>
  <si>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</si>
  <si>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</si>
  <si>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ISOAMYL ALCOHOL</t>
    </r>
  </si>
  <si>
    <t>ISOAMYL ALCOHOL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</si>
  <si>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</si>
  <si>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</si>
  <si>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ISOBUTYL ALCOHOL</t>
    </r>
  </si>
  <si>
    <t>ISOBUTYL ALCOHOL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</si>
  <si>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</si>
  <si>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</si>
  <si>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ISOBUTYL METHACRYLATE</t>
    </r>
  </si>
  <si>
    <t>ISOBUTYL METHACRYLATE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</si>
  <si>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</si>
  <si>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</si>
  <si>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ISOPHORONE</t>
    </r>
  </si>
  <si>
    <t>ISOPHORONE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</si>
  <si>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</si>
  <si>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</si>
  <si>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ISOPHORONEDIAMINE</t>
    </r>
  </si>
  <si>
    <t>ISOPHORONEDIAMINE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</si>
  <si>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</si>
  <si>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</si>
  <si>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ISOPHORONE DIISOCYANATE</t>
    </r>
  </si>
  <si>
    <t>ISOPHORONE DIISOCYANATE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</si>
  <si>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</si>
  <si>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</si>
  <si>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ISOPRENE</t>
    </r>
  </si>
  <si>
    <t>ISOPRENE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</si>
  <si>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</si>
  <si>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</si>
  <si>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ISOPROPANOLAMINE</t>
    </r>
  </si>
  <si>
    <t>ISOPROPANOLAMINE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</si>
  <si>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</si>
  <si>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</si>
  <si>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ISOPROPYLAMINE</t>
    </r>
  </si>
  <si>
    <t>ISOPROPYLAMINE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</si>
  <si>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</si>
  <si>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</si>
  <si>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ISOPROPYLAMINE (70% OR LESS) SOLUTION</t>
    </r>
  </si>
  <si>
    <t>ISOPROPYLAMINE (70% OR LESS)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</si>
  <si>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</si>
  <si>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</si>
  <si>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ISOPROPYLCYCLOHEXANE</t>
    </r>
  </si>
  <si>
    <t>ISOPROPYLCYCLOHEXANE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</si>
  <si>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</si>
  <si>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</si>
  <si>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ISOPROPYL ETHER</t>
    </r>
  </si>
  <si>
    <t>ISOPROPYL ETHER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</si>
  <si>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</si>
  <si>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</si>
  <si>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LACTIC ACID</t>
    </r>
  </si>
  <si>
    <t>LACTIC ACID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</si>
  <si>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</si>
  <si>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</si>
  <si>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LACTONITRILE SOLUTION (80% OR LESS)</t>
    </r>
  </si>
  <si>
    <t>LACTONITRILE SOLUTION (80%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</si>
  <si>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</si>
  <si>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</si>
  <si>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LARD</t>
    </r>
  </si>
  <si>
    <t>LARD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</si>
  <si>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</si>
  <si>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</si>
  <si>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</si>
  <si>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LATEX, AMMONIA (1% OR LESS)- INHIBITED</t>
    </r>
  </si>
  <si>
    <t>LATEX, AMMONIA (1% OR LESS)- INHIBITED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</si>
  <si>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</si>
  <si>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</si>
  <si>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LATEX: CARBOXYLATED STYRENE-BUTADIENE COPOLYMER; STYRENE-BUTADIENE RUBBER</t>
    </r>
  </si>
  <si>
    <t>LATEX: CARBOXYLATED STYRENE-BUTADIENE COPOLYMER; STYRENE-BUTADIENE RUBBER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</si>
  <si>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</si>
  <si>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</si>
  <si>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LAURIC ACID</t>
    </r>
  </si>
  <si>
    <t>LAURIC ACID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</si>
  <si>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</si>
  <si>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</si>
  <si>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LINSEED OIL</t>
    </r>
  </si>
  <si>
    <t>LINSEED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</si>
  <si>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</si>
  <si>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</si>
  <si>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</si>
  <si>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LIQUID CHEMICAL WASTES</t>
    </r>
  </si>
  <si>
    <t>LIQUID CHEMICAL WASTES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</si>
  <si>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</si>
  <si>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</si>
  <si>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LONG-CHAIN ALKARYL POLYETHER (C11-C20)</t>
    </r>
  </si>
  <si>
    <t>LONG-CHAIN ALKARYL POLYETHER (C11-C20)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</si>
  <si>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</si>
  <si>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</si>
  <si>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LONG-CHAIN ALKARYL SULPHONIC ACID (C16-C60)</t>
    </r>
  </si>
  <si>
    <t>LONG-CHAIN ALKARYL SULPHONIC ACID (C16-C60)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</si>
  <si>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</si>
  <si>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</si>
  <si>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LONG-CHAIN ALKYLPHENATE/PHENOL SULPHIDE MIXTURE</t>
    </r>
  </si>
  <si>
    <t>LONG-CHAIN ALKYLPHENATE/PHENOL SULPHIDE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</si>
  <si>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</si>
  <si>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</si>
  <si>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LONG-CHAIN ALKYLPHENOL (C14-C18)</t>
    </r>
  </si>
  <si>
    <t>LONG-CHAIN ALKYLPHENOL (C14-C18)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</si>
  <si>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</si>
  <si>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</si>
  <si>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LONG-CHAIN ALKYLPHENOL (C18-C30)</t>
    </r>
  </si>
  <si>
    <t>LONG-CHAIN ALKYLPHENOL (C18-C30)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</si>
  <si>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</si>
  <si>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</si>
  <si>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MAGNESIUM HYDROXIDE SLURRY</t>
    </r>
  </si>
  <si>
    <t>MAGNESIUM HYDROXIDE SLURRY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</si>
  <si>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</si>
  <si>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</si>
  <si>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MAGNESIUM LONG-CHAIN ALKARYL SULPHONATE (C11-C50)</t>
    </r>
  </si>
  <si>
    <t>MAGNESIUM LONG-CHAIN ALKARYL SULPHONATE (C11-C50)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</si>
  <si>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</si>
  <si>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</si>
  <si>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MAGNESIUM LONG-CHAIN ALKYL SALICYLATE (C11+)</t>
    </r>
  </si>
  <si>
    <t>MAGNESIUM LONG-CHAIN ALKYL SALICYLATE (C11+)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</si>
  <si>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</si>
  <si>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</si>
  <si>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MALEIC ANHYDRIDE</t>
    </r>
  </si>
  <si>
    <t>MALEIC ANHYDRIDE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</si>
  <si>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</si>
  <si>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</si>
  <si>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MERCAPTOBENZOTHIAZOL, SODIUM SALT SOLUTION</t>
    </r>
  </si>
  <si>
    <t>MERCAPTOBENZOTHIAZOL, SODIUM SALT SOLUTION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</si>
  <si>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</si>
  <si>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</si>
  <si>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MESITYL OXIDE</t>
    </r>
  </si>
  <si>
    <t>MESITYL OXIDE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</si>
  <si>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</si>
  <si>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</si>
  <si>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METAM SODIUM SOLUTION</t>
    </r>
  </si>
  <si>
    <t>METAM SODIUM SOLUTION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</si>
  <si>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</si>
  <si>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</si>
  <si>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METHACRYLIC ACID</t>
    </r>
  </si>
  <si>
    <t>METHACRYLIC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</si>
  <si>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</si>
  <si>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</si>
  <si>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METHACRYLIC ACID - ALKOXYPOLY (ALKYLENE OXIDE) METHACRYLATE COPOLYMER, SODIUM SALT AQUEOUS SOLUTION (45% OR LESS)</t>
    </r>
  </si>
  <si>
    <t>METHACRYLIC ACID - ALKOXYPOLY (ALKYLENE OXIDE) METHACRYLATE COPOLYMER, SODIUM SALT AQUEOUS SOLUTION (45% OR LESS)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</si>
  <si>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</si>
  <si>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</si>
  <si>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METHACRYLIC RESIN IN ETHYLENE DICHLORIDE</t>
    </r>
  </si>
  <si>
    <t>METHACRYLIC RESIN IN ETHYLENE DICHLORIDE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</si>
  <si>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</si>
  <si>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</si>
  <si>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METHACRYLONITRILE</t>
    </r>
  </si>
  <si>
    <t>METHACRYLONITRILE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</si>
  <si>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</si>
  <si>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</si>
  <si>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3-METHOXY-1-BUTANOL</t>
    </r>
  </si>
  <si>
    <t>3-METHOXY-1-BUTANOL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</si>
  <si>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</si>
  <si>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</si>
  <si>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3-METHOXYBUTYL ACETATE</t>
    </r>
  </si>
  <si>
    <t>3-METHOXYBUTYL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</si>
  <si>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</si>
  <si>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</si>
  <si>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N-(2-METHOXY-1-METHYL ETHYL)-2-ETHYL-6-METHYL CHLOROACETANILIDE</t>
    </r>
  </si>
  <si>
    <t>N-(2-METHOXY-1-METHYL ETHYL)-2-ETHYL-6-METHYL CHLOROACETANILIDE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</si>
  <si>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</si>
  <si>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</si>
  <si>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ACETOACETATE</t>
    </r>
  </si>
  <si>
    <t>METHYL ACETOACETATE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</si>
  <si>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</si>
  <si>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</si>
  <si>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ACRYLATE</t>
    </r>
  </si>
  <si>
    <t>METHYL ACRYLATE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</si>
  <si>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</si>
  <si>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</si>
  <si>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ALCOHOL (*)</t>
    </r>
  </si>
  <si>
    <t>METHYL ALCOHOL (*)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</si>
  <si>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</si>
  <si>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</si>
  <si>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METHYLAMINE SOLUTIONS (42% OR LESS)</t>
    </r>
  </si>
  <si>
    <t>METHYLAMINE SOLUTIONS (42%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</si>
  <si>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</si>
  <si>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</si>
  <si>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METHYLAMYL ALCOHOL</t>
    </r>
  </si>
  <si>
    <t>METHYLAMYL ALCOHOL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</si>
  <si>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</si>
  <si>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</si>
  <si>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t>METHYLAMYL KETONE</t>
  </si>
  <si>
    <t>METHYL AMYL KETONE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</si>
  <si>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</si>
  <si>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</si>
  <si>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N-METHYLANILINE</t>
    </r>
  </si>
  <si>
    <t>N-METHYLANILINE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</si>
  <si>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</si>
  <si>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</si>
  <si>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ALPHA-METHYLBENZYL ALCOHOL WITH ACETOPHENONE (15% OR LESS)</t>
    </r>
  </si>
  <si>
    <t>ALPHA-METHYLBENZYL ALCOHOL WITH ACETOPHENONE (15%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</si>
  <si>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</si>
  <si>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</si>
  <si>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METHYLBUTENOL</t>
    </r>
  </si>
  <si>
    <t>METHYLBUTENOL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</si>
  <si>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</si>
  <si>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</si>
  <si>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BUTYL KETONE</t>
    </r>
  </si>
  <si>
    <t>METHYL BUTYL KETONE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</si>
  <si>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</si>
  <si>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</si>
  <si>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METHYLBUTYNOL</t>
    </r>
  </si>
  <si>
    <t>METHYLBUTYNOL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</si>
  <si>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</si>
  <si>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</si>
  <si>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BUTYRATE</t>
    </r>
  </si>
  <si>
    <t>METHYL BUTYRATE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</si>
  <si>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</si>
  <si>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</si>
  <si>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METHYLCYCLOHEXANE</t>
    </r>
  </si>
  <si>
    <t>METHYLCYCLOHEXANE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</si>
  <si>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</si>
  <si>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</si>
  <si>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METHYLCYCLOPENTADIENE DIMER</t>
    </r>
  </si>
  <si>
    <t>METHYLCYCLOPENTADIENE DIMER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</si>
  <si>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</si>
  <si>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</si>
  <si>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METHYLCYCLOPENTADIENYL MANGANESE TRICARBONYL</t>
    </r>
  </si>
  <si>
    <t>METHYLCYCLOPENTADIENYL MANGANESE TRICARBONYL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</si>
  <si>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</si>
  <si>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</si>
  <si>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DIETHANOLAMINE</t>
    </r>
  </si>
  <si>
    <t>METHYL DIETHANOLAMINE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</si>
  <si>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</si>
  <si>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</si>
  <si>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2-METHYL-6-ETHYL ANILINE</t>
    </r>
  </si>
  <si>
    <t>2-METHYL-6-ETHYL ANILINE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</si>
  <si>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</si>
  <si>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</si>
  <si>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ETHYL KETONE</t>
    </r>
  </si>
  <si>
    <t>METHYL ETHYL KETONE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</si>
  <si>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</si>
  <si>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</si>
  <si>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2-METHYL-5-ETHYL PYRIDINE</t>
    </r>
  </si>
  <si>
    <t>2-METHYL-5-ETHYL PYRIDINE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</si>
  <si>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</si>
  <si>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</si>
  <si>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FORMATE</t>
    </r>
  </si>
  <si>
    <t>METHYL FORMATE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</si>
  <si>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</si>
  <si>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</si>
  <si>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N-METHYLGLUCAMINE SOLUTION (70% OR LESS)</t>
    </r>
  </si>
  <si>
    <t>N-METHYLGLUCAMINE SOLUTION (70% OR LESS)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</si>
  <si>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</si>
  <si>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</si>
  <si>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2-METHYLGLUTARONITRILE WITH 2-ETHYLSUCCINONITRILE (12% OR LESS)</t>
    </r>
  </si>
  <si>
    <t>2-METHYLGLUTARONITRILE WITH 2-ETHYLSUCCINONITRILE (12% OR LESS)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</si>
  <si>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</si>
  <si>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</si>
  <si>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2-METHYL-2-HYDROXY-3-BUTYNE</t>
    </r>
  </si>
  <si>
    <t>2-METHYL-2-HYDROXY-3-BUTYNE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</si>
  <si>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</si>
  <si>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</si>
  <si>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ISOBUTYL KETONE</t>
    </r>
  </si>
  <si>
    <t>METHYL ISOBUTYL KETONE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</si>
  <si>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</si>
  <si>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</si>
  <si>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METHACRYLATE</t>
    </r>
  </si>
  <si>
    <t>METHYL METHACRYLATE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</si>
  <si>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</si>
  <si>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</si>
  <si>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3-METHYL-3-METHOXYBUTANOL</t>
    </r>
  </si>
  <si>
    <t>3-METHYL-3-METHOXYBUTANOL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</si>
  <si>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</si>
  <si>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</si>
  <si>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NAPHTHALENE (MOLTEN)</t>
    </r>
  </si>
  <si>
    <t>METHYL NAPHTHALENE (MOLTEN)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</si>
  <si>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</si>
  <si>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</si>
  <si>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PROPYL KETONE</t>
    </r>
  </si>
  <si>
    <t>METHYL PROPYL KETONE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</si>
  <si>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</si>
  <si>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</si>
  <si>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2-METHYLPYRIDINE</t>
    </r>
  </si>
  <si>
    <t>2-METHYLPYRIDINE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</si>
  <si>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</si>
  <si>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</si>
  <si>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3-METHYLPYRIDINE</t>
    </r>
  </si>
  <si>
    <t>3-METHYLPYRIDINE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</si>
  <si>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</si>
  <si>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</si>
  <si>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4-METHYLPYRIDINE</t>
    </r>
  </si>
  <si>
    <t>4-METHYLPYRIDINE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</si>
  <si>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</si>
  <si>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</si>
  <si>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N-METHYL-2-PYRROLIDONE</t>
    </r>
  </si>
  <si>
    <t>N-METHYL-2-PYRROLIDONE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</si>
  <si>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</si>
  <si>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</si>
  <si>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METHYL SALICYLATE</t>
    </r>
  </si>
  <si>
    <t>METHYL SALICYLATE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</si>
  <si>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</si>
  <si>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</si>
  <si>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ALPHA-METHYLSTYRENE</t>
    </r>
  </si>
  <si>
    <t>ALPHA-METHYLSTYRENE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</si>
  <si>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</si>
  <si>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</si>
  <si>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3-(METHYLTHIO)PROPIONALDEHYDE</t>
    </r>
  </si>
  <si>
    <t>3-(METHYLTHIO)PROPIONALDEHYDE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</si>
  <si>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</si>
  <si>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</si>
  <si>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MOLYBDENUM POLYSULPHIDE LONG CHAIN ALKYL DITHIOCARBAMIDE COMPLEX</t>
    </r>
  </si>
  <si>
    <t>MOLYBDENUM POLYSULPHIDE LONG CHAIN ALKYL DITHIOCARBAMIDE COMPLEX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</si>
  <si>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</si>
  <si>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</si>
  <si>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t>MORPHOLINE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</si>
  <si>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</si>
  <si>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</si>
  <si>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MOTOR FUEL ANTI-KNOCK COMPOUND (CONTAINING LEAD ALKYLS)</t>
    </r>
  </si>
  <si>
    <t>MOTOR FUEL ANTI-KNOCK COMPOUND (CONTAINING LEAD ALKYLS)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</si>
  <si>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</si>
  <si>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</si>
  <si>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MYRCENE</t>
    </r>
  </si>
  <si>
    <t>MYRCENE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</si>
  <si>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</si>
  <si>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</si>
  <si>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NAPHTHALENE (MOLTEN)</t>
    </r>
  </si>
  <si>
    <t>NAPHTHALENE (MOLTEN)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</si>
  <si>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</si>
  <si>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</si>
  <si>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NAPHTHALENE CRUDE (MOLTEN)</t>
    </r>
  </si>
  <si>
    <t>NAPHTHALENE CRUDE (MOLTEN)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</si>
  <si>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</si>
  <si>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</si>
  <si>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NAPHTHALENESULPHONIC ACID-FORMALDEHYDE COPOLYMER, SODIUM SALT SOLUTION</t>
    </r>
  </si>
  <si>
    <t>NAPHTHALENESULPHONIC ACID-FORMALDEHYDE COPOLYMER, SODIUM SALT SOLUTION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</si>
  <si>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</si>
  <si>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</si>
  <si>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NEODECANOIC ACID</t>
    </r>
  </si>
  <si>
    <t>NEODECANOIC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</si>
  <si>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</si>
  <si>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</si>
  <si>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NITRATING ACID (MIXTURE OF SULPHURIC AND NITRIC ACIDS)</t>
    </r>
  </si>
  <si>
    <t>NITRATING ACID (MIXTURE OF SULPHURIC AND NITRIC ACIDS)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</si>
  <si>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</si>
  <si>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</si>
  <si>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NITRIC ACID (70% AND OVER)</t>
    </r>
  </si>
  <si>
    <t>NITRIC ACID (70% AND OVER)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</si>
  <si>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</si>
  <si>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</si>
  <si>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NITRIC ACID (LESS THAN 70%)</t>
    </r>
  </si>
  <si>
    <t>NITRIC ACID (LESS THAN 70%)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</si>
  <si>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</si>
  <si>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</si>
  <si>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NITRILOTRIACETIC ACID, TRISODIUM SALT SOLUTION</t>
    </r>
  </si>
  <si>
    <t>NITRILOTRIACETIC ACID, TRISODIUM SALT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</si>
  <si>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</si>
  <si>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</si>
  <si>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NITROBENZENE</t>
    </r>
  </si>
  <si>
    <t>NITROBENZENE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</si>
  <si>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</si>
  <si>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</si>
  <si>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NITROETHANE</t>
    </r>
  </si>
  <si>
    <t>NITROETHANE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</si>
  <si>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</si>
  <si>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</si>
  <si>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NITROETHANE(80%)/ NITROPROPANE(20%)</t>
    </r>
  </si>
  <si>
    <t>NITROETHANE(80%)/ NITROPROPANE(20%)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</si>
  <si>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</si>
  <si>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</si>
  <si>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NITROETHANE, 1-NITROPROPANE (EACH 15% OR MORE) MIXTURE</t>
    </r>
  </si>
  <si>
    <t>NITROETHANE, 1-NITROPROPANE (EACH 15% OR MORE)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</si>
  <si>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</si>
  <si>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</si>
  <si>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O-NITROPHENOL (MOLTEN)</t>
    </r>
  </si>
  <si>
    <t>O-NITROPHENOL (MOLTEN)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</si>
  <si>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</si>
  <si>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</si>
  <si>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1- OR 2-NITROPROPANE</t>
    </r>
  </si>
  <si>
    <t>1- OR 2-NITROPROPANE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</si>
  <si>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</si>
  <si>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</si>
  <si>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NITROPROPANE (60%)/NITROETHANE (40%) MIXTURE</t>
    </r>
  </si>
  <si>
    <t>NITROPROPANE (60%)/NITROETHANE (40%)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</si>
  <si>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</si>
  <si>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</si>
  <si>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O- OR P-NITROTOLUENES</t>
    </r>
  </si>
  <si>
    <t>O- OR P-NITROTOLUENES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</si>
  <si>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</si>
  <si>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</si>
  <si>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NONANE (ALL ISOMERS)</t>
    </r>
  </si>
  <si>
    <t>NONANE (ALL ISOMERS)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</si>
  <si>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</si>
  <si>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</si>
  <si>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NONANOIC ACID (ALL ISOMERS)</t>
    </r>
  </si>
  <si>
    <t>NONANOIC ACID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</si>
  <si>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</si>
  <si>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</si>
  <si>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NON-EDIBLE INDUSTRIAL GRADE PALM OIL</t>
    </r>
  </si>
  <si>
    <t>NON-EDIBLE INDUSTRIAL GRADE PALM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</si>
  <si>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</si>
  <si>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</si>
  <si>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NONYL ALCOHOL (ALL ISOMERS)</t>
    </r>
  </si>
  <si>
    <t>NONYL ALCOHOL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</si>
  <si>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</si>
  <si>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</si>
  <si>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NONYL METHACRYLATE MONOMER</t>
    </r>
  </si>
  <si>
    <t>NONYL METHACRYLATE MONOMER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</si>
  <si>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</si>
  <si>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</si>
  <si>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NONYLPHENOL</t>
    </r>
  </si>
  <si>
    <t>NONYLPHENOL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</si>
  <si>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</si>
  <si>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</si>
  <si>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NONYLPHENOL POLY(4+)ETHOXYLATE</t>
    </r>
  </si>
  <si>
    <t>NONYLPHENOL POLY(4+)ETHOXYLATE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</si>
  <si>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</si>
  <si>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</si>
  <si>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OCTANOIC ACID (ALL ISOMERS)</t>
    </r>
  </si>
  <si>
    <t>OCTANOIC ACID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</si>
  <si>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</si>
  <si>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</si>
  <si>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OCTANOL (ALL ISOMERS)</t>
    </r>
  </si>
  <si>
    <t>OCTANOL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</si>
  <si>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</si>
  <si>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</si>
  <si>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N-OCTYL ACETATE</t>
    </r>
  </si>
  <si>
    <t>N-OCTYL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</si>
  <si>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</si>
  <si>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</si>
  <si>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OCTYL ALDEHYDES</t>
    </r>
  </si>
  <si>
    <t>OCTYL ALDEHYDES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</si>
  <si>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</si>
  <si>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</si>
  <si>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OCTYL DECYL ADIPATE</t>
    </r>
  </si>
  <si>
    <t>OCTYL DECYL ADIPATE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</si>
  <si>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</si>
  <si>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</si>
  <si>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N-OCTYL MERCAPTAN</t>
    </r>
  </si>
  <si>
    <t>N-OCTYL MERCAPTAN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</si>
  <si>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</si>
  <si>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</si>
  <si>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OFFSHORE CONTAMINATED BULK LIQUID S*</t>
    </r>
  </si>
  <si>
    <t>OFFSHORE CONTAMINATED BULK LIQUID S*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</si>
  <si>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</si>
  <si>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</si>
  <si>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OLEFIN MIXTURES (C5-C7)</t>
    </r>
  </si>
  <si>
    <t>OLEFIN MIXTURES (C5-C7)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</si>
  <si>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</si>
  <si>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</si>
  <si>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OLEFIN MIXTURES (C5-C15)</t>
    </r>
  </si>
  <si>
    <t>OLEFIN MIXTURES (C5-C15)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</si>
  <si>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</si>
  <si>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</si>
  <si>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ALPHA-OLEFINS (C6-C18) MIXTURES</t>
    </r>
  </si>
  <si>
    <t>ALPHA-OLEFINS (C6-C18) MIXTURES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</si>
  <si>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</si>
  <si>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</si>
  <si>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OLEIC ACID</t>
    </r>
  </si>
  <si>
    <t>OLEIC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</si>
  <si>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</si>
  <si>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</si>
  <si>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OLEUM</t>
    </r>
  </si>
  <si>
    <t>OLEUM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</si>
  <si>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</si>
  <si>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</si>
  <si>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OLEYLAMINE</t>
    </r>
  </si>
  <si>
    <t>OLEYLAMINE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</si>
  <si>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</si>
  <si>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</si>
  <si>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OLIVE OIL</t>
    </r>
  </si>
  <si>
    <t>OLIVE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</si>
  <si>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</si>
  <si>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</si>
  <si>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</si>
  <si>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OXYGENATED ALIPHATIC HYDROCARBON MIXTURE</t>
    </r>
  </si>
  <si>
    <t>OXYGENATED ALIPHATIC HYDROCARBON MIXTURE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</si>
  <si>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</si>
  <si>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</si>
  <si>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PALM ACID OIL</t>
    </r>
  </si>
  <si>
    <t>PALM ACID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</si>
  <si>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</si>
  <si>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</si>
  <si>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PALM FATTY ACID DISTILLATE</t>
    </r>
  </si>
  <si>
    <t>PALM FATTY ACID DISTILLATE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</si>
  <si>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</si>
  <si>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</si>
  <si>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PALM KERNEL ACID OIL</t>
    </r>
  </si>
  <si>
    <t>PALM KERNEL ACID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</si>
  <si>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</si>
  <si>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</si>
  <si>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PALM KERNEL FATTY ACID DISTILLATE</t>
    </r>
  </si>
  <si>
    <t>PALM KERNEL FATTY ACID DISTILLATE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</si>
  <si>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</si>
  <si>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</si>
  <si>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PALM KERNEL OIL</t>
    </r>
  </si>
  <si>
    <t>PALM KERNEL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</si>
  <si>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</si>
  <si>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</si>
  <si>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</si>
  <si>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PARAFFIN WAX, SEMI-REFINED</t>
    </r>
  </si>
  <si>
    <t>PARAFFIN WAX, SEMI-REFINED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</si>
  <si>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</si>
  <si>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</si>
  <si>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PARALDEHYDE</t>
    </r>
  </si>
  <si>
    <t>PARALDEHYDE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</si>
  <si>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</si>
  <si>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</si>
  <si>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PARALDEHYDE-AMMONIA REACTION PRODUCT</t>
    </r>
  </si>
  <si>
    <t>PARALDEHYDE-AMMONIA REACTION PRODUCT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</si>
  <si>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</si>
  <si>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</si>
  <si>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PENTACHLOROETHANE</t>
    </r>
  </si>
  <si>
    <t>PENTACHLOROETHANE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</si>
  <si>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</si>
  <si>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</si>
  <si>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1,3-PENTADIENE (GREATER THAN 50%), CYCLOPENTENE AND ISOMERS, MIXTURES</t>
    </r>
  </si>
  <si>
    <t>1,3-PENTADIENE (GREATER THAN 50%), CYCLOPENTENE AND ISOMERS, MIXTURES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</si>
  <si>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</si>
  <si>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</si>
  <si>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PENTAETHYLENEHEXAMINE</t>
    </r>
  </si>
  <si>
    <t>PENTAETHYLENEHEXAMINE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</si>
  <si>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</si>
  <si>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</si>
  <si>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PENTANOIC ACID</t>
    </r>
  </si>
  <si>
    <t>PENTANOIC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</si>
  <si>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</si>
  <si>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</si>
  <si>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N-PENTANOIC ACID (64%)/2-METHYL BUTYRIC ACID (36%) MIXTURE</t>
    </r>
  </si>
  <si>
    <t>N-PENTANOIC ACID (64%)/2-METHYL BUTYRIC ACID (36%)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</si>
  <si>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</si>
  <si>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</si>
  <si>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N-PENTYL PROPIONATE</t>
    </r>
  </si>
  <si>
    <t>N-PENTYL PROPIONATE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</si>
  <si>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</si>
  <si>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</si>
  <si>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PERCHLOROETHYLENE</t>
    </r>
  </si>
  <si>
    <t>PERCHLOROETHYLENE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</si>
  <si>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</si>
  <si>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</si>
  <si>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PHENOL</t>
    </r>
  </si>
  <si>
    <t>PHENOL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</si>
  <si>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</si>
  <si>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</si>
  <si>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1-PHENYL-1-XYLYL ETHANE</t>
    </r>
  </si>
  <si>
    <t>1-PHENYL-1-XYLYL ETHANE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</si>
  <si>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</si>
  <si>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</si>
  <si>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PHOSPHATE ESTERS, ALKYL (C12-C14) AMINE</t>
    </r>
  </si>
  <si>
    <t>PHOSPHATE ESTERS, ALKYL (C12-C14) 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</si>
  <si>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</si>
  <si>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</si>
  <si>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PHOSPHORIC ACID</t>
    </r>
  </si>
  <si>
    <t>PHOSPHORIC ACID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</si>
  <si>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</si>
  <si>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</si>
  <si>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PHOSPHORUS, YELLOW OR WHITE (*)</t>
    </r>
  </si>
  <si>
    <t>PHOSPHORUS, YELLOW OR WHITE (*)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</si>
  <si>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</si>
  <si>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</si>
  <si>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PHTHALIC ANHYDRIDE (MOLTEN)</t>
    </r>
  </si>
  <si>
    <t>PHTHALIC ANHYDRIDE (MOLTEN)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</si>
  <si>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</si>
  <si>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</si>
  <si>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ALPHA-PINENE</t>
    </r>
  </si>
  <si>
    <t>ALPHA-PINENE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</si>
  <si>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</si>
  <si>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</si>
  <si>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BETA-PINENE</t>
    </r>
  </si>
  <si>
    <t>BETA-PINENE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</si>
  <si>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</si>
  <si>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</si>
  <si>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PINE OIL</t>
    </r>
  </si>
  <si>
    <t>PINE OIL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</si>
  <si>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</si>
  <si>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</si>
  <si>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PIPERAZINE, 68% SOLUTION</t>
    </r>
  </si>
  <si>
    <t>PIPERAZINE, 68%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</si>
  <si>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</si>
  <si>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</si>
  <si>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POLYACRYLIC ACID SOLUTION (40% OR LESS)</t>
    </r>
  </si>
  <si>
    <t>POLYACRYLIC ACID SOLUTION (40% OR LESS)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</si>
  <si>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</si>
  <si>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</si>
  <si>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POLYALKYL (C18-C22) ACRYLATE IN XYLENE</t>
    </r>
  </si>
  <si>
    <t>POLYALKYL (C18-C22) ACRYLATE IN XYLENE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</si>
  <si>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</si>
  <si>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</si>
  <si>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POLYALUMINIUM CHLORIDE SOLUTION</t>
    </r>
  </si>
  <si>
    <t>POLYALUMINIUM CHLORIDE SOLUTION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</si>
  <si>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</si>
  <si>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</si>
  <si>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POLY(2+)CYCLIC AROMATICS</t>
    </r>
  </si>
  <si>
    <t>POLY(2+)CYCLIC AROMATICS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</si>
  <si>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</si>
  <si>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</si>
  <si>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POLYETHYLENE GLYCOL DIMETHYL ETHER</t>
    </r>
  </si>
  <si>
    <t>POLYETHYLENE GLYCOL DIMETHYL ETHER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</si>
  <si>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</si>
  <si>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</si>
  <si>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POLYETHYLENE POLYAMINES</t>
    </r>
  </si>
  <si>
    <t>POLYETHYLENE POLYAMINES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</si>
  <si>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</si>
  <si>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</si>
  <si>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POLYETHYLENE POLYAMINES (MORE THAN 50% C5 -C20 PARAFFIN OIL)</t>
    </r>
  </si>
  <si>
    <t>POLYETHYLENE POLYAMINES (MORE THAN 50% C5 -C20 PARAFFIN OIL)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</si>
  <si>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</si>
  <si>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</si>
  <si>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POLYFERRIC SULPHATE SOLUTION</t>
    </r>
  </si>
  <si>
    <t>POLYFERRIC SULPHATE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</si>
  <si>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</si>
  <si>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</si>
  <si>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POLYGLYCERIN, SODIUM SALT SOLUTION (CONTAINING LESS THAN 3% SODIUM HYDROXIDE)</t>
    </r>
  </si>
  <si>
    <t>POLYGLYCERIN, SODIUM SALT SOLUTION (CONTAINING LESS THAN 3% SODIUM HYDROXIDE)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</si>
  <si>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</si>
  <si>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</si>
  <si>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POLY(IMINOETHYLENE)-GRAFT-N-POLY(ETHYLENEOXY) SOLUTION (90% OR LESS)</t>
    </r>
  </si>
  <si>
    <t>POLY(IMINOETHYLENE)-GRAFT-N-POLY(ETHYLENEOXY) SOLUTION (90% OR LESS)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</si>
  <si>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</si>
  <si>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</si>
  <si>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POLYISOBUTENAMINE IN ALIPHATIC (C10-C14) SOLVENT</t>
    </r>
  </si>
  <si>
    <t>POLYISOBUTENAMINE IN ALIPHATIC (C10-C14) SOLVENT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</si>
  <si>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</si>
  <si>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</si>
  <si>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(POLYISOBUTENE) AMINO PRODUCTS IN ALIPHATIC HYDROCARBONS</t>
    </r>
  </si>
  <si>
    <t>(POLYISOBUTENE) AMINO PRODUCTS IN ALIPHATIC HYDROCARBONS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</si>
  <si>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</si>
  <si>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</si>
  <si>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POLYISOBUTENYL ANHYDRIDE ADDUCT</t>
    </r>
  </si>
  <si>
    <t>POLYISOBUTENYL ANHYDRIDE ADDUCT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</si>
  <si>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</si>
  <si>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</si>
  <si>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POLYMETHYLENE POLYPHENYL ISOCYANATE</t>
    </r>
  </si>
  <si>
    <t>POLYMETHYLENE POLYPHENYL ISOCYANATE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</si>
  <si>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</si>
  <si>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</si>
  <si>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POLYOLEFIN AMIDE ALKENEAMINE (C17+)</t>
    </r>
  </si>
  <si>
    <t>POLYOLEFIN AMIDE ALKENEAMINE (C17+)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</si>
  <si>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</si>
  <si>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</si>
  <si>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POLYOLEFINAMINE (C28-C250)</t>
    </r>
  </si>
  <si>
    <t>POLYOLEFINAMINE (C28-C250)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</si>
  <si>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</si>
  <si>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</si>
  <si>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POLYOLEFINAMINE IN ALKYL (C2-C4) BENZENES</t>
    </r>
  </si>
  <si>
    <t>POLYOLEFINAMINE IN ALKYL (C2-C4) BENZENES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</si>
  <si>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</si>
  <si>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</si>
  <si>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POLYOLEFINAMINE IN AROMATIC SOLVENT</t>
    </r>
  </si>
  <si>
    <t>POLYOLEFINAMINE IN AROMATIC SOLVENT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</si>
  <si>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</si>
  <si>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</si>
  <si>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POLYOLEFIN AMINOESTER SALTS (MOLECULAR WEIGHT 2000+)</t>
    </r>
  </si>
  <si>
    <t>POLYOLEFIN AMINOESTER SALTS (MOLECULAR WEIGHT 2000+)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</si>
  <si>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</si>
  <si>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</si>
  <si>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POLYOLEFIN ANHYDRIDE</t>
    </r>
  </si>
  <si>
    <t>POLYOLEFIN ANHYDRIDE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</si>
  <si>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</si>
  <si>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</si>
  <si>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POLYOLEFIN PHENOLIC AMINE (C28-C250)</t>
    </r>
  </si>
  <si>
    <t>POLYOLEFIN PHENOLIC AMINE (C28-C250)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</si>
  <si>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</si>
  <si>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</si>
  <si>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POLYPROPYLENE GLYCOL</t>
    </r>
  </si>
  <si>
    <t>POLYPROPYLENE GLYCOL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</si>
  <si>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</si>
  <si>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</si>
  <si>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POTASSIUM FORMATE SOLUTIONS (*)</t>
    </r>
  </si>
  <si>
    <t>POTASSIUM FORMATE SOLUTIONS (*)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</si>
  <si>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</si>
  <si>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</si>
  <si>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POTASSIUM HYDROXIDE SOLUTION (*)</t>
    </r>
  </si>
  <si>
    <t>POTASSIUM HYDROXIDE SOLUTION (*)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</si>
  <si>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</si>
  <si>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</si>
  <si>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POTASSIUM OLEATE</t>
    </r>
  </si>
  <si>
    <t>POTASSIUM OLEATE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</si>
  <si>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</si>
  <si>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</si>
  <si>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POTASSIUM THIOSULPHATE (50% OR LESS)</t>
    </r>
  </si>
  <si>
    <t>POTASSIUM THIOSULPHATE (50%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</si>
  <si>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</si>
  <si>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</si>
  <si>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N-PROPANOLAMINE</t>
    </r>
  </si>
  <si>
    <t>N-PROPANOLAMINE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</si>
  <si>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</si>
  <si>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</si>
  <si>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BETA-PROPIOLACTONE</t>
    </r>
  </si>
  <si>
    <t>BETA-PROPIOLACTONE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</si>
  <si>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</si>
  <si>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</si>
  <si>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PROPIONALDEHYDE</t>
    </r>
  </si>
  <si>
    <t>PROPIONALDEHYDE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</si>
  <si>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</si>
  <si>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</si>
  <si>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PROPIONIC ACID</t>
    </r>
  </si>
  <si>
    <t>PROPIONIC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</si>
  <si>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</si>
  <si>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</si>
  <si>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PROPIONIC ANHYDRIDE</t>
    </r>
  </si>
  <si>
    <t>PROPIONIC ANHYDRIDE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</si>
  <si>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</si>
  <si>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</si>
  <si>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PROPIONITRILE</t>
    </r>
  </si>
  <si>
    <t>PROPIONITRILE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</si>
  <si>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</si>
  <si>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</si>
  <si>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N-PROPYL ALCOHOL</t>
    </r>
  </si>
  <si>
    <t>N-PROPYL ALCOHOL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</si>
  <si>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</si>
  <si>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</si>
  <si>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N-PROPYLAMINE</t>
    </r>
  </si>
  <si>
    <t>N-PROPYLAMINE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</si>
  <si>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</si>
  <si>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</si>
  <si>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PROPYLENE CARBONATE</t>
    </r>
  </si>
  <si>
    <t>PROPYLENE CARBONATE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</si>
  <si>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</si>
  <si>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</si>
  <si>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PROPYLENE GLYCOL MONOALKYL ETHER</t>
    </r>
  </si>
  <si>
    <t>PROPYLENE GLYCOL MONOALKYL ETHER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</si>
  <si>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</si>
  <si>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</si>
  <si>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PROPYLENE GLYCOL PHENYL ETHER</t>
    </r>
  </si>
  <si>
    <t>PROPYLENE GLYCOL PHENYL ETHER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</si>
  <si>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</si>
  <si>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</si>
  <si>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PROPYLENE OXIDE</t>
    </r>
  </si>
  <si>
    <t>PROPYLENE OXIDE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</si>
  <si>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</si>
  <si>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</si>
  <si>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PROPYLENE TETRAMER</t>
    </r>
  </si>
  <si>
    <t>PROPYLENE TETRAMER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</si>
  <si>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</si>
  <si>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</si>
  <si>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PROPYLENE TRIMER</t>
    </r>
  </si>
  <si>
    <t>PROPYLENE TRIMER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</si>
  <si>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</si>
  <si>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</si>
  <si>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PYRIDINE</t>
    </r>
  </si>
  <si>
    <t>PYRIDINE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</si>
  <si>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</si>
  <si>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</si>
  <si>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PYROLYSIS GASOLINE (CONTAINING BENZENE)</t>
    </r>
  </si>
  <si>
    <t>PYROLYSIS GASOLINE (CONTAINING BENZENE)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</si>
  <si>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</si>
  <si>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</si>
  <si>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t>RAPESEED OIL FATTY ACID METHYL ESTERS</t>
  </si>
  <si>
    <t>RAPE SEED OIL FATTY ACID METHYL ESTERS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</si>
  <si>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</si>
  <si>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</si>
  <si>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RESIN OIL, DISTILLED</t>
    </r>
  </si>
  <si>
    <t>RESIN OIL, DISTILLED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</si>
  <si>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</si>
  <si>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</si>
  <si>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RICE BRAN OIL</t>
    </r>
  </si>
  <si>
    <t>RICE BRAN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</si>
  <si>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</si>
  <si>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</si>
  <si>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</si>
  <si>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ROSIN</t>
    </r>
  </si>
  <si>
    <t>ROSIN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</si>
  <si>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</si>
  <si>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</si>
  <si>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SAFFLOWER OIL</t>
    </r>
  </si>
  <si>
    <t>SAFFLOWER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</si>
  <si>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</si>
  <si>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</si>
  <si>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</si>
  <si>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SHEA BUTTER</t>
    </r>
  </si>
  <si>
    <t>SHEA BUTTER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</si>
  <si>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</si>
  <si>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</si>
  <si>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</si>
  <si>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SODIUM ALKYL (C14-C17) SULPHONATES (60-65% SOLUTION)</t>
    </r>
  </si>
  <si>
    <t>SODIUM ALKYL (C14-C17) SULPHONATES (60-65% SOLUTION)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</si>
  <si>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</si>
  <si>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</si>
  <si>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BENZOATE</t>
    </r>
  </si>
  <si>
    <t>SODIUM BENZOATE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</si>
  <si>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</si>
  <si>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</si>
  <si>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BOROHYDRIDE (15% OR LESS)/SODIUM HYDROXIDE SOLUTION (*)</t>
    </r>
  </si>
  <si>
    <t>SODIUM BOROHYDRIDE (15% OR LESS)/SODIUM HYDROXIDE SOLUTION (*)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</si>
  <si>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</si>
  <si>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</si>
  <si>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BROMIDE SOLUTION (LESS THAN 50%) (*)</t>
    </r>
  </si>
  <si>
    <t>SODIUM BROMIDE SOLUTION (LESS THAN 50%) (*)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</si>
  <si>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</si>
  <si>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</si>
  <si>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CARBONATE SOLUTION (*)</t>
    </r>
  </si>
  <si>
    <t>SODIUM CARBONATE SOLUTION (*)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</si>
  <si>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</si>
  <si>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</si>
  <si>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CHLORATE SOLUTION (50% OR LESS) (*)</t>
    </r>
  </si>
  <si>
    <t>SODIUM CHLORATE SOLUTION (50% OR LESS) (*)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</si>
  <si>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</si>
  <si>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</si>
  <si>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DICHROMATE SOLUTION (70% OR LESS)</t>
    </r>
  </si>
  <si>
    <t>SODIUM DICHROMATE SOLUTION (70%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</si>
  <si>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</si>
  <si>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</si>
  <si>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HYDROGEN SULPHIDE (6% OR LESS)/SODIUM CARBONATE (3% OR LESS) SOLUTION</t>
    </r>
  </si>
  <si>
    <t>SODIUM HYDROGEN SULPHIDE (6% OR LESS)/SODIUM CARBONATE (3% OR LESS) SOLUTION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</si>
  <si>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</si>
  <si>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</si>
  <si>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HYDROSULPHIDE/AMMONIUM SULPHIDE SOLUTION (*)</t>
    </r>
  </si>
  <si>
    <t>SODIUM HYDROSULPHIDE/AMMONIUM SULPHIDE SOLUTION (*)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</si>
  <si>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</si>
  <si>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</si>
  <si>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HYDROSULPHIDE SOLUTION (45% OR LESS) (*)</t>
    </r>
  </si>
  <si>
    <t>SODIUM HYDROSULPHIDE SOLUTION (45% OR LESS) (*)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</si>
  <si>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</si>
  <si>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</si>
  <si>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HYDROXIDE SOLUTION (*)</t>
    </r>
  </si>
  <si>
    <t>SODIUM HYDROXIDE SOLUTION (*)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</si>
  <si>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</si>
  <si>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</si>
  <si>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HYPOCHLORITE SOLUTION (15% OR LESS)</t>
    </r>
  </si>
  <si>
    <t>SODIUM HYPOCHLORITE SOLUTION (15%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</si>
  <si>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</si>
  <si>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</si>
  <si>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METHYLATE 21-30% IN METHYL ALCOHOL</t>
    </r>
  </si>
  <si>
    <t>SODIUM METHYLATE 21-30% IN METHYL ALCOHOL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</si>
  <si>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</si>
  <si>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</si>
  <si>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NITRITE SOLUTION</t>
    </r>
  </si>
  <si>
    <t>SODIUM NITRITE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</si>
  <si>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</si>
  <si>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</si>
  <si>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PETROLEUM SULPHONATE</t>
    </r>
  </si>
  <si>
    <t>SODIUM PETROLEUM SULPHONATE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</si>
  <si>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</si>
  <si>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</si>
  <si>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POLY(4+)ACRYLATE SOLUTIONS</t>
    </r>
  </si>
  <si>
    <t>SODIUM POLY(4+)ACRYLATE SOLUTIONS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</si>
  <si>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</si>
  <si>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</si>
  <si>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SILICATE SOLUTION</t>
    </r>
  </si>
  <si>
    <t>SODIUM SILICATE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</si>
  <si>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</si>
  <si>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</si>
  <si>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SULPHATE SOLUTIONS</t>
    </r>
  </si>
  <si>
    <t>SODIUM SULPHATE SOLUTIONS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</si>
  <si>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</si>
  <si>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</si>
  <si>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t>SODIUM SULPHITE SOLUTION (15% OR LESS)</t>
  </si>
  <si>
    <t>SODIUM SULPHIDE SOLUTION (15%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</si>
  <si>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</si>
  <si>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</si>
  <si>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SULPHITE SOLUTION (25% OR LESS)</t>
    </r>
  </si>
  <si>
    <t>SODIUM SULPHITE SOLUTION (25%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</si>
  <si>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</si>
  <si>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</si>
  <si>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SODIUM THIOCYANATE SOLUTION (56% OR LESS)</t>
    </r>
  </si>
  <si>
    <t>SODIUM THIOCYANATE SOLUTION (56% OR LESS)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</si>
  <si>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</si>
  <si>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</si>
  <si>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SOYABEAN OIL</t>
    </r>
  </si>
  <si>
    <t>SOYABEAN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</si>
  <si>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</si>
  <si>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</si>
  <si>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</si>
  <si>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STYRENE MONOMER</t>
    </r>
  </si>
  <si>
    <t>STYRENE MONOMER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</si>
  <si>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</si>
  <si>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</si>
  <si>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SULPHOLANE</t>
    </r>
  </si>
  <si>
    <t>SULPHOLANE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</si>
  <si>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</si>
  <si>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</si>
  <si>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SULPHUR (MOLTEN) (*)</t>
    </r>
  </si>
  <si>
    <t>SULPHUR (MOLTEN) (*)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</si>
  <si>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</si>
  <si>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</si>
  <si>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SULPHURIC ACID</t>
    </r>
  </si>
  <si>
    <t>SULPHURIC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</si>
  <si>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</si>
  <si>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</si>
  <si>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SULPHURIC ACID, SPENT</t>
    </r>
  </si>
  <si>
    <t>SULPHURIC ACID, SPENT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</si>
  <si>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</si>
  <si>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</si>
  <si>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SULPHURIZED FAT (C14-C20)</t>
    </r>
  </si>
  <si>
    <t>SULPHURIZED FAT (C14-C20)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</si>
  <si>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</si>
  <si>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</si>
  <si>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SUNFLOWER SEED OIL</t>
    </r>
  </si>
  <si>
    <t>SUNFLOWER SEED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</si>
  <si>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</si>
  <si>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</si>
  <si>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</si>
  <si>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TALL OIL, CRUDE</t>
    </r>
  </si>
  <si>
    <t>TALL OIL, CRUDE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</si>
  <si>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</si>
  <si>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</si>
  <si>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TALL OIL FATTY ACID (RESIN ACIDS LESS THAN 20%)</t>
    </r>
  </si>
  <si>
    <t>TALL OIL FATTY ACID (RESIN ACIDS LESS THAN 20%)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</si>
  <si>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</si>
  <si>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</si>
  <si>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TALL OIL SOAP, CRUDE</t>
    </r>
  </si>
  <si>
    <t>TALL OIL SOAP, CRUDE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</si>
  <si>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</si>
  <si>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</si>
  <si>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TETRACHLOROETHANE</t>
    </r>
  </si>
  <si>
    <t>TETRACHLOROETHANE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</si>
  <si>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</si>
  <si>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</si>
  <si>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TETRAETHYLENE PENTAMINE</t>
    </r>
  </si>
  <si>
    <t>TETRAETHYLENE PENTAMINE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</si>
  <si>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</si>
  <si>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</si>
  <si>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TETRAHYDROFURAN</t>
    </r>
  </si>
  <si>
    <t>TETRAHYDROFURAN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</si>
  <si>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</si>
  <si>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</t>
    </r>
  </si>
  <si>
    <r>
      <rPr>
        <b/>
        <sz val="8"/>
        <color theme="1"/>
        <rFont val="Arial"/>
      </rPr>
      <t>TETRAHYDRONAPHTHALENE</t>
    </r>
  </si>
  <si>
    <t>TETRAHYDRONAPHTHALENE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</si>
  <si>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</si>
  <si>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</si>
  <si>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TETRAMETHYLBENZENE (ALL ISOMERS)</t>
    </r>
  </si>
  <si>
    <t>TETRAMETHYLBENZENE (ALL ISOMERS)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</si>
  <si>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</si>
  <si>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</si>
  <si>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TOLUENE</t>
    </r>
  </si>
  <si>
    <t>TOLUENE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</si>
  <si>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</si>
  <si>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</si>
  <si>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TOLUENEDIAMINE</t>
    </r>
  </si>
  <si>
    <t>TOLUENEDIAMINE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</si>
  <si>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</si>
  <si>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</si>
  <si>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TOLUENE DIISOCYANATE</t>
    </r>
  </si>
  <si>
    <t>TOLUENE DIISOCYANATE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</si>
  <si>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</si>
  <si>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</si>
  <si>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O-TOLUIDINE</t>
    </r>
  </si>
  <si>
    <t>O-TOLUIDINE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</si>
  <si>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</si>
  <si>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</si>
  <si>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TRIBUTYL PHOSPHATE</t>
    </r>
  </si>
  <si>
    <t>TRIBUTYL PHOSPHATE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</si>
  <si>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</si>
  <si>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</si>
  <si>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1,2,3-TRICHLOROBENZENE (MOLTEN)</t>
    </r>
  </si>
  <si>
    <t>1,2,3-TRICHLOROBENZENE (MOLTEN)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</si>
  <si>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</si>
  <si>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</si>
  <si>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1,2,4-TRICHLOROBENZENE</t>
    </r>
  </si>
  <si>
    <t>1,2,4-TRICHLOROBENZENE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</si>
  <si>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</si>
  <si>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</si>
  <si>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1,1,2-TRICHLOROETHANE</t>
    </r>
  </si>
  <si>
    <t>1,1,2-TRICHLOROETHANE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</si>
  <si>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</si>
  <si>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</si>
  <si>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TRICHLOROETHYLENE</t>
    </r>
  </si>
  <si>
    <t>TRICHLOROETHYLENE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</si>
  <si>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</si>
  <si>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</si>
  <si>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1,2,3-TRICHLOROPROPANE</t>
    </r>
  </si>
  <si>
    <t>1,2,3-TRICHLOROPROPANE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</si>
  <si>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</si>
  <si>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</si>
  <si>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TRICRESYL PHOSPHATE (CONTAINING 1% OR MORE ORTHO-ISOMER)</t>
    </r>
  </si>
  <si>
    <t>TRICRESYL PHOSPHATE (CONTAINING 1% OR MORE ORTHO-ISOMER)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</si>
  <si>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</si>
  <si>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</si>
  <si>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TRICRESYL PHOSPHATE (CONTAINING LESS THAN 1% ORTHO-ISOMER)</t>
    </r>
  </si>
  <si>
    <t>TRICRESYL PHOSPHATE (CONTAINING LESS THAN 1% ORTHO-ISOMER)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</si>
  <si>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</si>
  <si>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</si>
  <si>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TRIDECANE</t>
    </r>
  </si>
  <si>
    <t>TRIDECANE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</si>
  <si>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</si>
  <si>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</si>
  <si>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TRIDECANOIC ACID</t>
    </r>
  </si>
  <si>
    <t>TRIDECANOIC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</si>
  <si>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</si>
  <si>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</si>
  <si>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TRIDECYL ACETATE</t>
    </r>
  </si>
  <si>
    <t>TRIDECYL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</si>
  <si>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</si>
  <si>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</si>
  <si>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TRIETHANOLAMINE</t>
    </r>
  </si>
  <si>
    <t>TRIETHANOLAMINE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</si>
  <si>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</si>
  <si>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</si>
  <si>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TRIETHYLAMINE</t>
    </r>
  </si>
  <si>
    <t>TRIETHYLAMINE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</si>
  <si>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</si>
  <si>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</si>
  <si>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TRIETHYLBENZENE</t>
    </r>
  </si>
  <si>
    <t>TRIETHYLBENZENE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</si>
  <si>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</si>
  <si>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</si>
  <si>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TRIETHYLENETETRAMINE</t>
    </r>
  </si>
  <si>
    <t>TRIETHYLENETETRAMINE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</si>
  <si>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</si>
  <si>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</si>
  <si>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TRIETHYL PHOSPHATE</t>
    </r>
  </si>
  <si>
    <t>TRIETHYL PHOSPHATE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</si>
  <si>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</si>
  <si>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</si>
  <si>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TRIETHYL PHOSPHITE</t>
    </r>
  </si>
  <si>
    <t>TRIETHYL PHOSPHITE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</si>
  <si>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</si>
  <si>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</si>
  <si>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TRIISOPROPANOLAMINE</t>
    </r>
  </si>
  <si>
    <t>TRIISOPROPANOLAMINE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</si>
  <si>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</si>
  <si>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</si>
  <si>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TRIMETHYLACETIC ACID</t>
    </r>
  </si>
  <si>
    <t>TRIMETHYLACETIC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</si>
  <si>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</si>
  <si>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</si>
  <si>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TRIMETHYLAMINE SOLUTION (30% OR LESS)</t>
    </r>
  </si>
  <si>
    <t>TRIMETHYLAMINE SOLUTION (30% OR LESS)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</si>
  <si>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</si>
  <si>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</si>
  <si>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TRIMETHYLBENZENE (ALL ISOMERS)</t>
    </r>
  </si>
  <si>
    <t>TRIMETHYLBENZENE (ALL ISOMERS)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</si>
  <si>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</si>
  <si>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</si>
  <si>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TRIMETHYLOL PROPANE PROPOXYLATED</t>
    </r>
  </si>
  <si>
    <t>TRIMETHYLOL PROPANE PROPOXYLATED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</si>
  <si>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</si>
  <si>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</si>
  <si>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2,2,4-TRIMETHYL-1,3-PENTANEDIOL DIISOBUTYRATE</t>
    </r>
  </si>
  <si>
    <t>2,2,4-TRIMETHYL-1,3-PENTANEDIOL DIISOBUTYRATE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</si>
  <si>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</si>
  <si>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</si>
  <si>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2,2,4-TRIMETHYL-1,3-PENTANEDIOL-1-ISOBUTYRATE</t>
    </r>
  </si>
  <si>
    <t>2,2,4-TRIMETHYL-1,3-PENTANEDIOL-1-ISOBUTYRATE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</si>
  <si>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</si>
  <si>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</si>
  <si>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1,3,5-TRIOXANE</t>
    </r>
  </si>
  <si>
    <t>1,3,5-TRIOXANE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</si>
  <si>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</si>
  <si>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</si>
  <si>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TRIXYLYL PHOSPHATE</t>
    </r>
  </si>
  <si>
    <t>TRIXYLYL PHOSPHATE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</si>
  <si>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</si>
  <si>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</si>
  <si>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TUNG OIL</t>
    </r>
  </si>
  <si>
    <t>TUNG OIL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</si>
  <si>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</si>
  <si>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</si>
  <si>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sz val="9"/>
        <color theme="1"/>
        <rFont val="Arial"/>
      </rPr>
      <t>2(k)</t>
    </r>
  </si>
  <si>
    <r>
      <rPr>
        <b/>
        <sz val="8"/>
        <color theme="1"/>
        <rFont val="Arial"/>
      </rPr>
      <t>TURPENTINE</t>
    </r>
  </si>
  <si>
    <t>TURPENTINE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</si>
  <si>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</si>
  <si>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</si>
  <si>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UNDECANOIC ACID</t>
    </r>
  </si>
  <si>
    <t>UNDECANOIC ACID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</si>
  <si>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</si>
  <si>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</si>
  <si>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1-UNDECENE</t>
    </r>
  </si>
  <si>
    <t>1-UNDECENE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</si>
  <si>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</si>
  <si>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</si>
  <si>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UNDECYL ALCOHOL</t>
    </r>
  </si>
  <si>
    <t>UNDECYL ALCOHOL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</si>
  <si>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</si>
  <si>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</si>
  <si>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UREA/AMMONIUM NITRATE SOLUTION</t>
    </r>
  </si>
  <si>
    <t>UREA/AMMONIUM NITRATE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</si>
  <si>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</si>
  <si>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</si>
  <si>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UREA/AMMONIUM PHOSPHATE SOLUTION</t>
    </r>
  </si>
  <si>
    <t>UREA/AMMONIUM PHOSPHATE SOLUTION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</si>
  <si>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</si>
  <si>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</si>
  <si>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UREA SOLUTION</t>
    </r>
  </si>
  <si>
    <t>UREA SOLUTION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</si>
  <si>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</si>
  <si>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</si>
  <si>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USED COOKING OIL (M)</t>
    </r>
  </si>
  <si>
    <t>USED COOKING OIL (M)</t>
  </si>
  <si>
    <r>
      <rPr>
        <sz val="9"/>
        <color theme="1"/>
        <rFont val="Arial"/>
      </rPr>
      <t>X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</si>
  <si>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</si>
  <si>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USED COOKING OIL (TRIGLYCERIDES, C16-C18 AND C18 UNSATURATED)** (M)</t>
    </r>
  </si>
  <si>
    <t>USED COOKING OIL (TRIGLYCERIDES, C16-C18 AND C18 UNSATURATED)** (M)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</si>
  <si>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</si>
  <si>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</si>
  <si>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VALERALDEHYDE (ALL ISOMERS)</t>
    </r>
  </si>
  <si>
    <t>VALERALDEHYDE (ALL ISOMERS)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</si>
  <si>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</si>
  <si>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</si>
  <si>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VEGETABLE ACID OILS (M)</t>
    </r>
  </si>
  <si>
    <t>VEGETABLE ACID OILS (M)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</si>
  <si>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</si>
  <si>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</si>
  <si>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VEGETABLE OIL MIXTURES, CONTAINING LESS THAN 15% FREE FATTY ACID (M)</t>
    </r>
  </si>
  <si>
    <t>VEGETABLE OIL MIXTURES, CONTAINING LESS THAN 15% FREE FATTY ACID (M)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</si>
  <si>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</si>
  <si>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</si>
  <si>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VINYL ACETATE</t>
    </r>
  </si>
  <si>
    <t>VINYL ACETATE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</si>
  <si>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</si>
  <si>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</si>
  <si>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VINYL ETHYL ETHER</t>
    </r>
  </si>
  <si>
    <t>VINYL ETHYL ETHER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</si>
  <si>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</si>
  <si>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</si>
  <si>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VINYLIDENE CHLORIDE</t>
    </r>
  </si>
  <si>
    <t>VINYLIDENE CHLORIDE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</si>
  <si>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</si>
  <si>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</si>
  <si>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VINYL NEODECANOATE</t>
    </r>
  </si>
  <si>
    <t>VINYL NEODECANOATE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</si>
  <si>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</si>
  <si>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</si>
  <si>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VINYLTOLUENE</t>
    </r>
  </si>
  <si>
    <t>VINYLTOLUENE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</si>
  <si>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</si>
  <si>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</si>
  <si>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WHITE SPIRIT, LOW (15-20%) AROMATIC</t>
    </r>
  </si>
  <si>
    <t>WHITE SPIRIT, LOW (15-20%) AROMATIC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</si>
  <si>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</si>
  <si>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</si>
  <si>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WOOD LIGNIN WITH SODIUM ACETATE/OXALATE</t>
    </r>
  </si>
  <si>
    <t>WOOD LIGNIN WITH SODIUM ACETATE/OXALATE</t>
  </si>
  <si>
    <r>
      <rPr>
        <sz val="9"/>
        <color theme="1"/>
        <rFont val="Arial"/>
      </rPr>
      <t>Z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</si>
  <si>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</si>
  <si>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XYLENES/ETHYLBENZENE (10% OR MORE) MIXTURE</t>
    </r>
  </si>
  <si>
    <t>XYLENES/ETHYLBENZENE (10% OR MORE) MIXTURE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</si>
  <si>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</si>
  <si>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</si>
  <si>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XYLENOL</t>
    </r>
  </si>
  <si>
    <t>XYLENOL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</si>
  <si>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</si>
  <si>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</si>
  <si>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r>
      <rPr>
        <b/>
        <sz val="8"/>
        <color theme="1"/>
        <rFont val="Arial"/>
      </rPr>
      <t>ZINC ALKENYL CARBOXAMIDE</t>
    </r>
  </si>
  <si>
    <t>ZINC ALKENYL CARBOXAMIDE</t>
  </si>
  <si>
    <r>
      <rPr>
        <sz val="9"/>
        <color theme="1"/>
        <rFont val="Arial"/>
      </rPr>
      <t>Y</t>
    </r>
  </si>
  <si>
    <r>
      <rPr>
        <sz val="9"/>
        <color theme="1"/>
        <rFont val="Arial"/>
      </rPr>
      <t>S/P</t>
    </r>
  </si>
  <si>
    <t>select * from PMS_DG_IBC_CODE t
order by name</t>
  </si>
  <si>
    <t>ALKYL (C7-C11) PHENOL POLY(4-12) ETHOXYLATE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</si>
</sst>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Arial"/>
    </font>
    <font>
      <b/>
      <sz val="9"/>
      <color theme="1"/>
      <name val="Calibri"/>
    </font>
    <font>
      <sz val="9"/>
      <color theme="1"/>
      <name val="Calibri"/>
    </font>
    <font>
      <b/>
      <sz val="8"/>
      <color theme="1"/>
      <name val="Arial"/>
    </font>
    <font>
      <sz val="9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>
      <pane ySplit="1" topLeftCell="A623" activePane="bottomLeft" state="frozen"/>
      <selection pane="bottomLeft" activeCell="D133" sqref="D133"/>
    </sheetView>
  </sheetViews>
  <sheetFormatPr defaultColWidth="14.42578125" defaultRowHeight="15" customHeight="1" x14ac:dyDescent="0.2"/>
  <cols>
    <col min="1" max="1" width="6.85546875" customWidth="1"/>
    <col min="2" max="2" width="8.28515625" hidden="1" customWidth="1"/>
    <col min="3" max="3" width="88.28515625" customWidth="1"/>
    <col min="4" max="4" width="81.7109375" customWidth="1"/>
    <col min="5" max="5" width="14" customWidth="1"/>
    <col min="6" max="6" width="12.85546875" customWidth="1"/>
    <col min="7" max="7" width="5.85546875" hidden="1" customWidth="1"/>
    <col min="8" max="27" width="8.7109375" customWidth="1"/>
  </cols>
  <sheetData>
    <row r="1" spans="1:9" ht="12" customHeight="1" x14ac:dyDescent="0.2">
      <c r="A1" s="1" t="s">
        <v>0</v>
      </c>
      <c r="B1" s="2" t="s">
        <v>1</v>
      </c>
      <c r="C1" s="3" t="s">
        <v>2</v>
      </c>
      <c r="D1" s="2" t="str">
        <f ca="1">IFERROR(__xludf.DUMMYFUNCTION("GOOGLETRANSLATE(C:C, ""en"",""tr"")"),"ÜRÜN ADI")</f>
        <v>ÜRÜN ADI</v>
      </c>
      <c r="E1" s="2" t="s">
        <v>3</v>
      </c>
      <c r="F1" s="2" t="s">
        <v>4</v>
      </c>
      <c r="G1" s="2" t="s">
        <v>5</v>
      </c>
    </row>
    <row r="2" spans="1:9" ht="12" customHeight="1" x14ac:dyDescent="0.2">
      <c r="A2" s="4">
        <v>1</v>
      </c>
      <c r="B2" s="5" t="s">
        <v>6</v>
      </c>
      <c r="C2" s="6" t="s">
        <v>7</v>
      </c>
      <c r="D2" s="12" t="str">
        <f ca="1">IFERROR(__xludf.DUMMYFUNCTION("GOOGLETRANSLATE(C:C, ""en"",""tr"")"),"Asetik Asit")</f>
        <v>Asetik Asit</v>
      </c>
      <c r="E2" s="7" t="s">
        <v>8</v>
      </c>
      <c r="F2" s="7" t="s">
        <v>9</v>
      </c>
      <c r="G2" s="7">
        <v>3</v>
      </c>
    </row>
    <row r="3" spans="1:9" ht="12" customHeight="1" x14ac:dyDescent="0.2">
      <c r="A3" s="4">
        <v>2</v>
      </c>
      <c r="B3" s="5" t="s">
        <v>10</v>
      </c>
      <c r="C3" s="6" t="s">
        <v>11</v>
      </c>
      <c r="D3" s="12" t="str">
        <f ca="1">IFERROR(__xludf.DUMMYFUNCTION("GOOGLETRANSLATE(C:C, ""en"",""tr"")"),"Asetik Anhidrit")</f>
        <v>Asetik Anhidrit</v>
      </c>
      <c r="E3" s="7" t="s">
        <v>12</v>
      </c>
      <c r="F3" s="7" t="s">
        <v>13</v>
      </c>
      <c r="G3" s="7">
        <v>2</v>
      </c>
    </row>
    <row r="4" spans="1:9" ht="12" customHeight="1" x14ac:dyDescent="0.2">
      <c r="A4" s="4">
        <v>3</v>
      </c>
      <c r="B4" s="5" t="s">
        <v>14</v>
      </c>
      <c r="C4" s="8" t="s">
        <v>15</v>
      </c>
      <c r="D4" s="12" t="str">
        <f ca="1">IFERROR(__xludf.DUMMYFUNCTION("GOOGLETRANSLATE(C:C, ""en"",""tr"")"),"Asetoklor")</f>
        <v>Asetoklor</v>
      </c>
      <c r="E4" s="7" t="s">
        <v>16</v>
      </c>
      <c r="F4" s="4" t="s">
        <v>17</v>
      </c>
      <c r="G4" s="5">
        <v>2</v>
      </c>
      <c r="H4" s="7"/>
      <c r="I4" s="7"/>
    </row>
    <row r="5" spans="1:9" ht="12" customHeight="1" x14ac:dyDescent="0.2">
      <c r="A5" s="4">
        <v>4</v>
      </c>
      <c r="B5" s="5" t="s">
        <v>18</v>
      </c>
      <c r="C5" s="8" t="s">
        <v>19</v>
      </c>
      <c r="D5" s="12" t="str">
        <f ca="1">IFERROR(__xludf.DUMMYFUNCTION("GOOGLETRANSLATE(C:C, ""en"",""tr"")"),"Aseton siyanohidrin")</f>
        <v>Aseton siyanohidrin</v>
      </c>
      <c r="E5" s="7" t="s">
        <v>20</v>
      </c>
      <c r="F5" s="4" t="s">
        <v>21</v>
      </c>
      <c r="G5" s="5">
        <v>1</v>
      </c>
      <c r="H5" s="7"/>
      <c r="I5" s="7"/>
    </row>
    <row r="6" spans="1:9" ht="12" customHeight="1" x14ac:dyDescent="0.2">
      <c r="A6" s="4">
        <v>5</v>
      </c>
      <c r="B6" s="9" t="s">
        <v>22</v>
      </c>
      <c r="C6" s="8" t="s">
        <v>23</v>
      </c>
      <c r="D6" s="12" t="str">
        <f ca="1">IFERROR(__xludf.DUMMYFUNCTION("GOOGLETRANSLATE(C:C, ""en"",""tr"")"),"Asetonitril")</f>
        <v>Asetonitril</v>
      </c>
      <c r="E6" s="7" t="s">
        <v>24</v>
      </c>
      <c r="F6" s="7" t="s">
        <v>25</v>
      </c>
      <c r="G6" s="9">
        <v>3</v>
      </c>
      <c r="H6" s="7"/>
      <c r="I6" s="7"/>
    </row>
    <row r="7" spans="1:9" ht="12" customHeight="1" x14ac:dyDescent="0.2">
      <c r="A7" s="4">
        <v>6</v>
      </c>
      <c r="B7" s="9" t="s">
        <v>26</v>
      </c>
      <c r="C7" s="6" t="s">
        <v>27</v>
      </c>
      <c r="D7" s="12" t="str">
        <f ca="1">IFERROR(__xludf.DUMMYFUNCTION("GOOGLETRANSLATE(C:C, ""en"",""tr"")"),"Asetonitril (Düşük Saflık Derecesi)")</f>
        <v>Asetonitril (Düşük Saflık Derecesi)</v>
      </c>
      <c r="E7" s="7" t="s">
        <v>28</v>
      </c>
      <c r="F7" s="7" t="s">
        <v>29</v>
      </c>
      <c r="G7" s="9">
        <v>3</v>
      </c>
      <c r="H7" s="7"/>
      <c r="I7" s="7"/>
    </row>
    <row r="8" spans="1:9" ht="12" customHeight="1" x14ac:dyDescent="0.2">
      <c r="A8" s="4">
        <v>7</v>
      </c>
      <c r="B8" s="8" t="s">
        <v>30</v>
      </c>
      <c r="C8" s="6" t="s">
        <v>31</v>
      </c>
      <c r="D8" s="12" t="str">
        <f ca="1">IFERROR(__xludf.DUMMYFUNCTION("GOOGLETRANSLATE(C:C, ""en"",""tr"")"),"Soyafasülyesi, Mısır(Darı) ve Ayçiçeği Yağı Rafinajından Asit Yağ Karışımı")</f>
        <v>Soyafasülyesi, Mısır(Darı) ve Ayçiçeği Yağı Rafinajından Asit Yağ Karışımı</v>
      </c>
      <c r="E8" s="7" t="s">
        <v>32</v>
      </c>
      <c r="F8" s="4" t="s">
        <v>33</v>
      </c>
      <c r="G8" s="8">
        <v>2</v>
      </c>
      <c r="H8" s="7"/>
      <c r="I8" s="4"/>
    </row>
    <row r="9" spans="1:9" ht="12" customHeight="1" x14ac:dyDescent="0.2">
      <c r="A9" s="4">
        <v>8</v>
      </c>
      <c r="B9" s="8" t="s">
        <v>34</v>
      </c>
      <c r="C9" s="8" t="s">
        <v>35</v>
      </c>
      <c r="D9" s="12" t="str">
        <f ca="1">IFERROR(__xludf.DUMMYFUNCTION("GOOGLETRANSLATE(C:C, ""en"",""tr"")"),"Akrilamid çözeltisi (% 50 veya daha az)")</f>
        <v>Akrilamid çözeltisi (% 50 veya daha az)</v>
      </c>
      <c r="E9" s="7" t="s">
        <v>36</v>
      </c>
      <c r="F9" s="4" t="s">
        <v>37</v>
      </c>
      <c r="G9" s="8">
        <v>3</v>
      </c>
      <c r="H9" s="7"/>
      <c r="I9" s="4"/>
    </row>
    <row r="10" spans="1:9" ht="12" customHeight="1" x14ac:dyDescent="0.2">
      <c r="A10" s="4">
        <v>9</v>
      </c>
      <c r="B10" s="9" t="s">
        <v>38</v>
      </c>
      <c r="C10" s="8" t="s">
        <v>39</v>
      </c>
      <c r="D10" s="12" t="str">
        <f ca="1">IFERROR(__xludf.DUMMYFUNCTION("GOOGLETRANSLATE(C:C, ""en"",""tr"")"),"Akrilik Asit")</f>
        <v>Akrilik Asit</v>
      </c>
      <c r="E10" s="7" t="s">
        <v>40</v>
      </c>
      <c r="F10" s="7" t="s">
        <v>41</v>
      </c>
      <c r="G10" s="9">
        <v>2</v>
      </c>
      <c r="H10" s="7"/>
      <c r="I10" s="7"/>
    </row>
    <row r="11" spans="1:9" ht="12" customHeight="1" x14ac:dyDescent="0.2">
      <c r="A11" s="4">
        <v>10</v>
      </c>
      <c r="B11" s="8" t="s">
        <v>42</v>
      </c>
      <c r="C11" s="6" t="s">
        <v>43</v>
      </c>
      <c r="D11" s="12" t="str">
        <f ca="1">IFERROR(__xludf.DUMMYFUNCTION("GOOGLETRANSLATE(C:C, ""en"",""tr"")"),"Akrilonitril")</f>
        <v>Akrilonitril</v>
      </c>
      <c r="E11" s="7" t="s">
        <v>44</v>
      </c>
      <c r="F11" s="4" t="s">
        <v>45</v>
      </c>
      <c r="G11" s="8">
        <v>2</v>
      </c>
      <c r="H11" s="7"/>
      <c r="I11" s="4"/>
    </row>
    <row r="12" spans="1:9" ht="12" customHeight="1" x14ac:dyDescent="0.2">
      <c r="A12" s="4">
        <v>11</v>
      </c>
      <c r="B12" s="5" t="s">
        <v>46</v>
      </c>
      <c r="C12" s="8" t="s">
        <v>47</v>
      </c>
      <c r="D12" s="12" t="str">
        <f ca="1">IFERROR(__xludf.DUMMYFUNCTION("GOOGLETRANSLATE(C:C, ""en"",""tr"")"),"Adiponitril")</f>
        <v>Adiponitril</v>
      </c>
      <c r="E12" s="7" t="s">
        <v>48</v>
      </c>
      <c r="F12" s="7" t="s">
        <v>49</v>
      </c>
      <c r="G12" s="7">
        <v>2</v>
      </c>
    </row>
    <row r="13" spans="1:9" ht="12" customHeight="1" x14ac:dyDescent="0.2">
      <c r="A13" s="4">
        <v>12</v>
      </c>
      <c r="B13" s="5" t="s">
        <v>50</v>
      </c>
      <c r="C13" s="8" t="s">
        <v>51</v>
      </c>
      <c r="D13" s="12" t="str">
        <f ca="1">IFERROR(__xludf.DUMMYFUNCTION("GOOGLETRANSLATE(C:C, ""en"",""tr"")"),"Alachlor Teknik (% 90 veya daha fazla)")</f>
        <v>Alachlor Teknik (% 90 veya daha fazla)</v>
      </c>
      <c r="E13" s="7" t="s">
        <v>52</v>
      </c>
      <c r="F13" s="7" t="s">
        <v>53</v>
      </c>
      <c r="G13" s="7">
        <v>2</v>
      </c>
    </row>
    <row r="14" spans="1:9" ht="12" customHeight="1" x14ac:dyDescent="0.2">
      <c r="A14" s="4">
        <v>13</v>
      </c>
      <c r="B14" s="5" t="s">
        <v>54</v>
      </c>
      <c r="C14" s="8" t="s">
        <v>55</v>
      </c>
      <c r="D14" s="12" t="str">
        <f ca="1">IFERROR(__xludf.DUMMYFUNCTION("GOOGLETRANSLATE(C:C, ""en"",""tr"")"),"Alkol (C9-C11) Poli (2.5-9) etoksilat")</f>
        <v>Alkol (C9-C11) Poli (2.5-9) etoksilat</v>
      </c>
      <c r="E14" s="7" t="s">
        <v>56</v>
      </c>
      <c r="F14" s="4" t="s">
        <v>57</v>
      </c>
      <c r="G14" s="7">
        <v>3</v>
      </c>
    </row>
    <row r="15" spans="1:9" ht="12" customHeight="1" x14ac:dyDescent="0.2">
      <c r="A15" s="4">
        <v>14</v>
      </c>
      <c r="B15" s="5" t="s">
        <v>58</v>
      </c>
      <c r="C15" s="6" t="s">
        <v>59</v>
      </c>
      <c r="D15" s="12" t="str">
        <f ca="1">IFERROR(__xludf.DUMMYFUNCTION("GOOGLETRANSLATE(C:C, ""en"",""tr"")"),"Alkol (C10-C18) Poli (7) etoksilat")</f>
        <v>Alkol (C10-C18) Poli (7) etoksilat</v>
      </c>
      <c r="E15" s="7" t="s">
        <v>60</v>
      </c>
      <c r="F15" s="7" t="s">
        <v>61</v>
      </c>
      <c r="G15" s="7">
        <v>3</v>
      </c>
    </row>
    <row r="16" spans="1:9" ht="12" customHeight="1" x14ac:dyDescent="0.2">
      <c r="A16" s="4">
        <v>15</v>
      </c>
      <c r="B16" s="5" t="s">
        <v>62</v>
      </c>
      <c r="C16" s="6" t="s">
        <v>63</v>
      </c>
      <c r="D16" s="12" t="str">
        <f ca="1">IFERROR(__xludf.DUMMYFUNCTION("GOOGLETRANSLATE(C:C, ""en"",""tr"")"),"Alkol (C6-C17) (İkincil) Poli (3-6) etoksilatlar")</f>
        <v>Alkol (C6-C17) (İkincil) Poli (3-6) etoksilatlar</v>
      </c>
      <c r="E16" s="7" t="s">
        <v>64</v>
      </c>
      <c r="F16" s="7" t="s">
        <v>65</v>
      </c>
      <c r="G16" s="7">
        <v>2</v>
      </c>
    </row>
    <row r="17" spans="1:7" ht="12" customHeight="1" x14ac:dyDescent="0.2">
      <c r="A17" s="4">
        <v>16</v>
      </c>
      <c r="B17" s="5" t="s">
        <v>66</v>
      </c>
      <c r="C17" s="8" t="s">
        <v>67</v>
      </c>
      <c r="D17" s="12" t="str">
        <f ca="1">IFERROR(__xludf.DUMMYFUNCTION("GOOGLETRANSLATE(C:C, ""en"",""tr"")"),"Alkol (C6-C17) (ikincil) Poli (7-12) etoksilatlar")</f>
        <v>Alkol (C6-C17) (ikincil) Poli (7-12) etoksilatlar</v>
      </c>
      <c r="E17" s="7" t="s">
        <v>68</v>
      </c>
      <c r="F17" s="7" t="s">
        <v>69</v>
      </c>
      <c r="G17" s="7">
        <v>2</v>
      </c>
    </row>
    <row r="18" spans="1:7" ht="12" customHeight="1" x14ac:dyDescent="0.2">
      <c r="A18" s="4">
        <v>17</v>
      </c>
      <c r="B18" s="5" t="s">
        <v>70</v>
      </c>
      <c r="C18" s="10" t="s">
        <v>71</v>
      </c>
      <c r="D18" s="12" t="str">
        <f ca="1">IFERROR(__xludf.DUMMYFUNCTION("GOOGLETRANSLATE(C:C, ""en"",""tr"")"),"Alkol (C12-C16) Poli (1-6) etoksilatlar")</f>
        <v>Alkol (C12-C16) Poli (1-6) etoksilatlar</v>
      </c>
      <c r="E18" s="7" t="s">
        <v>72</v>
      </c>
      <c r="F18" s="7" t="s">
        <v>73</v>
      </c>
      <c r="G18" s="7">
        <v>2</v>
      </c>
    </row>
    <row r="19" spans="1:7" ht="12" customHeight="1" x14ac:dyDescent="0.2">
      <c r="A19" s="4">
        <v>18</v>
      </c>
      <c r="B19" s="5" t="s">
        <v>74</v>
      </c>
      <c r="C19" s="8" t="s">
        <v>75</v>
      </c>
      <c r="D19" s="12" t="str">
        <f ca="1">IFERROR(__xludf.DUMMYFUNCTION("GOOGLETRANSLATE(C:C, ""en"",""tr"")"),"Alkol (C12-C16) Poli (20+) etoksilatlar")</f>
        <v>Alkol (C12-C16) Poli (20+) etoksilatlar</v>
      </c>
      <c r="E19" s="7" t="s">
        <v>76</v>
      </c>
      <c r="F19" s="7" t="s">
        <v>77</v>
      </c>
      <c r="G19" s="7">
        <v>3</v>
      </c>
    </row>
    <row r="20" spans="1:7" ht="12" customHeight="1" x14ac:dyDescent="0.2">
      <c r="A20" s="4">
        <v>19</v>
      </c>
      <c r="B20" s="5" t="s">
        <v>78</v>
      </c>
      <c r="C20" s="6" t="s">
        <v>79</v>
      </c>
      <c r="D20" s="12" t="str">
        <f ca="1">IFERROR(__xludf.DUMMYFUNCTION("GOOGLETRANSLATE(C:C, ""en"",""tr"")"),"Alkol (C12-C16) Poli (7-19) etoksilatlar")</f>
        <v>Alkol (C12-C16) Poli (7-19) etoksilatlar</v>
      </c>
      <c r="E20" s="7" t="s">
        <v>80</v>
      </c>
      <c r="F20" s="7" t="s">
        <v>81</v>
      </c>
      <c r="G20" s="7">
        <v>2</v>
      </c>
    </row>
    <row r="21" spans="1:7" ht="12" customHeight="1" x14ac:dyDescent="0.2">
      <c r="A21" s="4">
        <v>20</v>
      </c>
      <c r="B21" s="5" t="s">
        <v>82</v>
      </c>
      <c r="C21" s="8" t="s">
        <v>83</v>
      </c>
      <c r="D21" s="12" t="str">
        <f ca="1">IFERROR(__xludf.DUMMYFUNCTION("GOOGLETRANSLATE(C:C, ""en"",""tr"")"),"Alkoller (C12 +), birincil, doğrusal")</f>
        <v>Alkoller (C12 +), birincil, doğrusal</v>
      </c>
      <c r="E21" s="7" t="s">
        <v>84</v>
      </c>
      <c r="F21" s="7" t="s">
        <v>85</v>
      </c>
      <c r="G21" s="7">
        <v>2</v>
      </c>
    </row>
    <row r="22" spans="1:7" ht="12" customHeight="1" x14ac:dyDescent="0.2">
      <c r="A22" s="4">
        <v>21</v>
      </c>
      <c r="B22" s="5" t="s">
        <v>86</v>
      </c>
      <c r="C22" s="6" t="s">
        <v>87</v>
      </c>
      <c r="D22" s="12" t="str">
        <f ca="1">IFERROR(__xludf.DUMMYFUNCTION("GOOGLETRANSLATE(C:C, ""en"",""tr"")"),"Alkoller (C8-C11), birincil, doğrusal ve esasen doğrusal")</f>
        <v>Alkoller (C8-C11), birincil, doğrusal ve esasen doğrusal</v>
      </c>
      <c r="E22" s="7" t="s">
        <v>88</v>
      </c>
      <c r="F22" s="7" t="s">
        <v>89</v>
      </c>
      <c r="G22" s="7">
        <v>2</v>
      </c>
    </row>
    <row r="23" spans="1:7" ht="12" customHeight="1" x14ac:dyDescent="0.2">
      <c r="A23" s="4">
        <v>22</v>
      </c>
      <c r="B23" s="5" t="s">
        <v>90</v>
      </c>
      <c r="C23" s="6" t="s">
        <v>91</v>
      </c>
      <c r="D23" s="12" t="str">
        <f ca="1">IFERROR(__xludf.DUMMYFUNCTION("GOOGLETRANSLATE(C:C, ""en"",""tr"")"),"Alkoller (C12-C13), birincil, doğrusal ve esasen doğrusal")</f>
        <v>Alkoller (C12-C13), birincil, doğrusal ve esasen doğrusal</v>
      </c>
      <c r="E23" s="7" t="s">
        <v>92</v>
      </c>
      <c r="F23" s="7" t="s">
        <v>93</v>
      </c>
      <c r="G23" s="7">
        <v>2</v>
      </c>
    </row>
    <row r="24" spans="1:7" ht="12" customHeight="1" x14ac:dyDescent="0.2">
      <c r="A24" s="4">
        <v>23</v>
      </c>
      <c r="B24" s="5" t="s">
        <v>94</v>
      </c>
      <c r="C24" s="6" t="s">
        <v>95</v>
      </c>
      <c r="D24" s="12" t="str">
        <f ca="1">IFERROR(__xludf.DUMMYFUNCTION("GOOGLETRANSLATE(C:C, ""en"",""tr"")"),"Alkoller (C14-C18), birincil, doğrusal ve esasen doğrusal")</f>
        <v>Alkoller (C14-C18), birincil, doğrusal ve esasen doğrusal</v>
      </c>
      <c r="E24" s="7" t="s">
        <v>96</v>
      </c>
      <c r="F24" s="7" t="s">
        <v>97</v>
      </c>
      <c r="G24" s="7">
        <v>2</v>
      </c>
    </row>
    <row r="25" spans="1:7" ht="12" customHeight="1" x14ac:dyDescent="0.2">
      <c r="A25" s="4">
        <v>24</v>
      </c>
      <c r="B25" s="5" t="s">
        <v>98</v>
      </c>
      <c r="C25" s="6" t="s">
        <v>99</v>
      </c>
      <c r="D25" s="12" t="str">
        <f ca="1">IFERROR(__xludf.DUMMYFUNCTION("GOOGLETRANSLATE(C:C, ""en"",""tr"")"),"Alkanlar (C6-C9)")</f>
        <v>Alkanlar (C6-C9)</v>
      </c>
      <c r="E25" s="7" t="s">
        <v>100</v>
      </c>
      <c r="F25" s="7" t="s">
        <v>101</v>
      </c>
      <c r="G25" s="7">
        <v>2</v>
      </c>
    </row>
    <row r="26" spans="1:7" ht="12" customHeight="1" x14ac:dyDescent="0.2">
      <c r="A26" s="4">
        <v>25</v>
      </c>
      <c r="B26" s="5" t="s">
        <v>102</v>
      </c>
      <c r="C26" s="6" t="s">
        <v>103</v>
      </c>
      <c r="D26" s="12" t="str">
        <f ca="1">IFERROR(__xludf.DUMMYFUNCTION("GOOGLETRANSLATE(C:C, ""en"",""tr"")"),"Iso- ve Siklo- Alkanlar (C10-C11)")</f>
        <v>Iso- ve Siklo- Alkanlar (C10-C11)</v>
      </c>
      <c r="E26" s="7" t="s">
        <v>104</v>
      </c>
      <c r="F26" s="7" t="s">
        <v>105</v>
      </c>
      <c r="G26" s="7">
        <v>3</v>
      </c>
    </row>
    <row r="27" spans="1:7" ht="12" customHeight="1" x14ac:dyDescent="0.2">
      <c r="A27" s="4">
        <v>26</v>
      </c>
      <c r="B27" s="5" t="s">
        <v>106</v>
      </c>
      <c r="C27" s="6" t="s">
        <v>107</v>
      </c>
      <c r="D27" s="12" t="str">
        <f ca="1">IFERROR(__xludf.DUMMYFUNCTION("GOOGLETRANSLATE(C:C, ""en"",""tr"")"),"Iso- ve Siklo- Alkanlar (C12+)")</f>
        <v>Iso- ve Siklo- Alkanlar (C12+)</v>
      </c>
      <c r="E27" s="7" t="s">
        <v>108</v>
      </c>
      <c r="F27" s="7" t="s">
        <v>109</v>
      </c>
      <c r="G27" s="7">
        <v>3</v>
      </c>
    </row>
    <row r="28" spans="1:7" ht="12" customHeight="1" x14ac:dyDescent="0.2">
      <c r="A28" s="4">
        <v>27</v>
      </c>
      <c r="B28" s="5" t="s">
        <v>110</v>
      </c>
      <c r="C28" s="6" t="s">
        <v>111</v>
      </c>
      <c r="D28" s="12" t="str">
        <f ca="1">IFERROR(__xludf.DUMMYFUNCTION("GOOGLETRANSLATE(C:C, ""en"",""tr"")"),"N-alkanlar (C9-C11)")</f>
        <v>N-alkanlar (C9-C11)</v>
      </c>
      <c r="E28" s="7" t="s">
        <v>112</v>
      </c>
      <c r="F28" s="7" t="s">
        <v>113</v>
      </c>
      <c r="G28" s="7">
        <v>3</v>
      </c>
    </row>
    <row r="29" spans="1:7" ht="12" customHeight="1" x14ac:dyDescent="0.2">
      <c r="A29" s="4">
        <v>28</v>
      </c>
      <c r="B29" s="5" t="s">
        <v>114</v>
      </c>
      <c r="C29" s="6" t="s">
        <v>115</v>
      </c>
      <c r="D29" s="12" t="str">
        <f ca="1">IFERROR(__xludf.DUMMYFUNCTION("GOOGLETRANSLATE(C:C, ""en"",""tr"")"),"Alkaril Polieterler (C9-C20)")</f>
        <v>Alkaril Polieterler (C9-C20)</v>
      </c>
      <c r="E29" s="7" t="s">
        <v>116</v>
      </c>
      <c r="F29" s="7" t="s">
        <v>117</v>
      </c>
      <c r="G29" s="7">
        <v>2</v>
      </c>
    </row>
    <row r="30" spans="1:7" ht="12" customHeight="1" x14ac:dyDescent="0.2">
      <c r="A30" s="4">
        <v>29</v>
      </c>
      <c r="B30" s="5" t="s">
        <v>118</v>
      </c>
      <c r="C30" s="6" t="s">
        <v>119</v>
      </c>
      <c r="D30" s="12" t="str">
        <f ca="1">IFERROR(__xludf.DUMMYFUNCTION("GOOGLETRANSLATE(C:C, ""en"",""tr"")"),"Alkenoik asit, polihidroksi ester boratlanmış")</f>
        <v>Alkenoik asit, polihidroksi ester boratlanmış</v>
      </c>
      <c r="E30" s="7" t="s">
        <v>120</v>
      </c>
      <c r="F30" s="7" t="s">
        <v>121</v>
      </c>
      <c r="G30" s="7">
        <v>2</v>
      </c>
    </row>
    <row r="31" spans="1:7" ht="12" customHeight="1" x14ac:dyDescent="0.2">
      <c r="A31" s="4">
        <v>30</v>
      </c>
      <c r="B31" s="5" t="s">
        <v>122</v>
      </c>
      <c r="C31" s="6" t="s">
        <v>123</v>
      </c>
      <c r="D31" s="12" t="str">
        <f ca="1">IFERROR(__xludf.DUMMYFUNCTION("GOOGLETRANSLATE(C:C, ""en"",""tr"")"),"Alkenil (C11+) Amide")</f>
        <v>Alkenil (C11+) Amide</v>
      </c>
      <c r="E31" s="7" t="s">
        <v>124</v>
      </c>
      <c r="F31" s="7" t="s">
        <v>125</v>
      </c>
      <c r="G31" s="7">
        <v>2</v>
      </c>
    </row>
    <row r="32" spans="1:7" ht="12" customHeight="1" x14ac:dyDescent="0.2">
      <c r="A32" s="4">
        <v>31</v>
      </c>
      <c r="B32" s="5" t="s">
        <v>126</v>
      </c>
      <c r="C32" s="6" t="s">
        <v>127</v>
      </c>
      <c r="D32" s="12" t="str">
        <f ca="1">IFERROR(__xludf.DUMMYFUNCTION("GOOGLETRANSLATE(C:C, ""en"",""tr"")"),"Alkenil (C16-C20) süksinik anhidrit")</f>
        <v>Alkenil (C16-C20) süksinik anhidrit</v>
      </c>
      <c r="E32" s="7" t="s">
        <v>128</v>
      </c>
      <c r="F32" s="7" t="s">
        <v>129</v>
      </c>
      <c r="G32" s="7">
        <v>3</v>
      </c>
    </row>
    <row r="33" spans="1:7" ht="12" customHeight="1" x14ac:dyDescent="0.2">
      <c r="A33" s="4">
        <v>32</v>
      </c>
      <c r="B33" s="5" t="s">
        <v>130</v>
      </c>
      <c r="C33" s="6" t="s">
        <v>131</v>
      </c>
      <c r="D33" s="12" t="str">
        <f ca="1">IFERROR(__xludf.DUMMYFUNCTION("GOOGLETRANSLATE(C:C, ""en"",""tr"")"),"Toluen'de alkil akrilat / vinilpiridin kopolimeri")</f>
        <v>Toluen'de alkil akrilat / vinilpiridin kopolimeri</v>
      </c>
      <c r="E33" s="7" t="s">
        <v>132</v>
      </c>
      <c r="F33" s="7" t="s">
        <v>133</v>
      </c>
      <c r="G33" s="7">
        <v>2</v>
      </c>
    </row>
    <row r="34" spans="1:7" ht="12" customHeight="1" x14ac:dyDescent="0.2">
      <c r="A34" s="4">
        <v>33</v>
      </c>
      <c r="B34" s="5" t="s">
        <v>134</v>
      </c>
      <c r="C34" s="6" t="s">
        <v>135</v>
      </c>
      <c r="D34" s="12" t="str">
        <f ca="1">IFERROR(__xludf.DUMMYFUNCTION("GOOGLETRANSLATE(C:C, ""en"",""tr"")"),"Alkil / Cyclo (C4-C5) Alkoller")</f>
        <v>Alkil / Cyclo (C4-C5) Alkoller</v>
      </c>
      <c r="E34" s="7" t="s">
        <v>136</v>
      </c>
      <c r="F34" s="7" t="s">
        <v>137</v>
      </c>
      <c r="G34" s="7">
        <v>3</v>
      </c>
    </row>
    <row r="35" spans="1:7" ht="12" customHeight="1" x14ac:dyDescent="0.2">
      <c r="A35" s="4">
        <v>34</v>
      </c>
      <c r="B35" s="5" t="s">
        <v>138</v>
      </c>
      <c r="C35" s="6" t="s">
        <v>139</v>
      </c>
      <c r="D35" s="12" t="str">
        <f ca="1">IFERROR(__xludf.DUMMYFUNCTION("GOOGLETRANSLATE(C:C, ""en"",""tr"")"),"Alkilaril fosfat karışımları (% 40'dan fazla difenil tolil fosfat,% 0.02 orto-izomerden az)")</f>
        <v>Alkilaril fosfat karışımları (% 40'dan fazla difenil tolil fosfat,% 0.02 orto-izomerden az)</v>
      </c>
      <c r="E35" s="7" t="s">
        <v>140</v>
      </c>
      <c r="F35" s="7" t="s">
        <v>141</v>
      </c>
      <c r="G35" s="7">
        <v>2</v>
      </c>
    </row>
    <row r="36" spans="1:7" ht="12" customHeight="1" x14ac:dyDescent="0.2">
      <c r="A36" s="4">
        <v>35</v>
      </c>
      <c r="B36" s="5" t="s">
        <v>142</v>
      </c>
      <c r="C36" s="6" t="s">
        <v>143</v>
      </c>
      <c r="D36" s="12" t="str">
        <f ca="1">IFERROR(__xludf.DUMMYFUNCTION("GOOGLETRANSLATE(C:C, ""en"",""tr"")"),"Alkile (C4-C9) Hinderlenmiş Fenoller")</f>
        <v>Alkile (C4-C9) Hinderlenmiş Fenoller</v>
      </c>
      <c r="E36" s="7" t="s">
        <v>144</v>
      </c>
      <c r="F36" s="7" t="s">
        <v>145</v>
      </c>
      <c r="G36" s="7">
        <v>2</v>
      </c>
    </row>
    <row r="37" spans="1:7" ht="12" customHeight="1" x14ac:dyDescent="0.2">
      <c r="A37" s="4">
        <v>36</v>
      </c>
      <c r="B37" s="5" t="s">
        <v>146</v>
      </c>
      <c r="C37" s="6" t="s">
        <v>147</v>
      </c>
      <c r="D37" s="12" t="str">
        <f ca="1">IFERROR(__xludf.DUMMYFUNCTION("GOOGLETRANSLATE(C:C, ""en"",""tr"")"),"Alkilbenzen damıtma dipleri")</f>
        <v>Alkilbenzen damıtma dipleri</v>
      </c>
      <c r="E37" s="7" t="s">
        <v>148</v>
      </c>
      <c r="F37" s="7" t="s">
        <v>149</v>
      </c>
      <c r="G37" s="7">
        <v>2</v>
      </c>
    </row>
    <row r="38" spans="1:7" ht="12" customHeight="1" x14ac:dyDescent="0.2">
      <c r="A38" s="4">
        <v>37</v>
      </c>
      <c r="B38" s="5" t="s">
        <v>150</v>
      </c>
      <c r="C38" s="6" t="s">
        <v>151</v>
      </c>
      <c r="D38" s="12" t="str">
        <f ca="1">IFERROR(__xludf.DUMMYFUNCTION("GOOGLETRANSLATE(C:C, ""en"",""tr"")"),"Alkilbenzen karışımları (en az% 50 toluen)")</f>
        <v>Alkilbenzen karışımları (en az% 50 toluen)</v>
      </c>
      <c r="E38" s="7" t="s">
        <v>152</v>
      </c>
      <c r="F38" s="7" t="s">
        <v>153</v>
      </c>
      <c r="G38" s="7">
        <v>3</v>
      </c>
    </row>
    <row r="39" spans="1:7" ht="12" customHeight="1" x14ac:dyDescent="0.2">
      <c r="A39" s="4">
        <v>38</v>
      </c>
      <c r="B39" s="5" t="s">
        <v>154</v>
      </c>
      <c r="C39" s="6" t="s">
        <v>155</v>
      </c>
      <c r="D39" s="12" t="str">
        <f ca="1">IFERROR(__xludf.DUMMYFUNCTION("GOOGLETRANSLATE(C:C, ""en"",""tr"")"),"Alkil (C3-C4) benzenler")</f>
        <v>Alkil (C3-C4) benzenler</v>
      </c>
      <c r="E39" s="7" t="s">
        <v>156</v>
      </c>
      <c r="F39" s="7" t="s">
        <v>157</v>
      </c>
      <c r="G39" s="7">
        <v>2</v>
      </c>
    </row>
    <row r="40" spans="1:7" ht="12" customHeight="1" x14ac:dyDescent="0.2">
      <c r="A40" s="4">
        <v>39</v>
      </c>
      <c r="B40" s="5" t="s">
        <v>158</v>
      </c>
      <c r="C40" s="6" t="s">
        <v>159</v>
      </c>
      <c r="D40" s="12" t="str">
        <f ca="1">IFERROR(__xludf.DUMMYFUNCTION("GOOGLETRANSLATE(C:C, ""en"",""tr"")"),"Alkil (C5-C8) benzenler")</f>
        <v>Alkil (C5-C8) benzenler</v>
      </c>
      <c r="E40" s="7" t="s">
        <v>160</v>
      </c>
      <c r="F40" s="7" t="s">
        <v>161</v>
      </c>
      <c r="G40" s="7">
        <v>2</v>
      </c>
    </row>
    <row r="41" spans="1:7" ht="12" customHeight="1" x14ac:dyDescent="0.2">
      <c r="A41" s="4">
        <v>40</v>
      </c>
      <c r="B41" s="5" t="s">
        <v>162</v>
      </c>
      <c r="C41" s="6" t="s">
        <v>163</v>
      </c>
      <c r="D41" s="12" t="str">
        <f ca="1">IFERROR(__xludf.DUMMYFUNCTION("GOOGLETRANSLATE(C:C, ""en"",""tr"")"),"Alkil (C9+) benzenler")</f>
        <v>Alkil (C9+) benzenler</v>
      </c>
      <c r="E41" s="7" t="s">
        <v>164</v>
      </c>
      <c r="F41" s="7" t="s">
        <v>165</v>
      </c>
      <c r="G41" s="7">
        <v>3</v>
      </c>
    </row>
    <row r="42" spans="1:7" ht="12" customHeight="1" x14ac:dyDescent="0.2">
      <c r="A42" s="4">
        <v>41</v>
      </c>
      <c r="B42" s="5" t="s">
        <v>166</v>
      </c>
      <c r="C42" s="6" t="s">
        <v>167</v>
      </c>
      <c r="D42" s="12" t="str">
        <f ca="1">IFERROR(__xludf.DUMMYFUNCTION("GOOGLETRANSLATE(C:C, ""en"",""tr"")"),"Alkilbenzene karışımları (naftalen içeren)")</f>
        <v>Alkilbenzene karışımları (naftalen içeren)</v>
      </c>
      <c r="E42" s="7" t="s">
        <v>168</v>
      </c>
      <c r="F42" s="7" t="s">
        <v>169</v>
      </c>
      <c r="G42" s="7">
        <v>2</v>
      </c>
    </row>
    <row r="43" spans="1:7" ht="12" customHeight="1" x14ac:dyDescent="0.2">
      <c r="A43" s="4">
        <v>42</v>
      </c>
      <c r="B43" s="5" t="s">
        <v>170</v>
      </c>
      <c r="C43" s="6" t="s">
        <v>171</v>
      </c>
      <c r="D43" s="12" t="str">
        <f ca="1">IFERROR(__xludf.DUMMYFUNCTION("GOOGLETRANSLATE(C:C, ""en"",""tr"")"),"Alkil (C11-C17) Benzen Sülfonik Asit")</f>
        <v>Alkil (C11-C17) Benzen Sülfonik Asit</v>
      </c>
      <c r="E43" s="7" t="s">
        <v>172</v>
      </c>
      <c r="F43" s="7" t="s">
        <v>173</v>
      </c>
      <c r="G43" s="7">
        <v>2</v>
      </c>
    </row>
    <row r="44" spans="1:7" ht="12" customHeight="1" x14ac:dyDescent="0.2">
      <c r="A44" s="4">
        <v>43</v>
      </c>
      <c r="B44" s="5" t="s">
        <v>174</v>
      </c>
      <c r="C44" s="6" t="s">
        <v>175</v>
      </c>
      <c r="D44" s="12" t="str">
        <f ca="1">IFERROR(__xludf.DUMMYFUNCTION("GOOGLETRANSLATE(C:C, ""en"",""tr"")"),"Alkilbenzen Sülfonik Asit, Sodyum Tuz Çözeltisi")</f>
        <v>Alkilbenzen Sülfonik Asit, Sodyum Tuz Çözeltisi</v>
      </c>
      <c r="E44" s="7" t="s">
        <v>176</v>
      </c>
      <c r="F44" s="7" t="s">
        <v>177</v>
      </c>
      <c r="G44" s="7">
        <v>2</v>
      </c>
    </row>
    <row r="45" spans="1:7" ht="12" customHeight="1" x14ac:dyDescent="0.2">
      <c r="A45" s="4">
        <v>44</v>
      </c>
      <c r="B45" s="5" t="s">
        <v>178</v>
      </c>
      <c r="C45" s="6" t="s">
        <v>179</v>
      </c>
      <c r="D45" s="12" t="str">
        <f ca="1">IFERROR(__xludf.DUMMYFUNCTION("GOOGLETRANSLATE(C:C, ""en"",""tr"")"),"Alkil (C12+) Dimetilamin")</f>
        <v>Alkil (C12+) Dimetilamin</v>
      </c>
      <c r="E45" s="7" t="s">
        <v>180</v>
      </c>
      <c r="F45" s="7" t="s">
        <v>181</v>
      </c>
      <c r="G45" s="7">
        <v>1</v>
      </c>
    </row>
    <row r="46" spans="1:7" ht="12" customHeight="1" x14ac:dyDescent="0.2">
      <c r="A46" s="4">
        <v>45</v>
      </c>
      <c r="B46" s="5" t="s">
        <v>182</v>
      </c>
      <c r="C46" s="6" t="s">
        <v>183</v>
      </c>
      <c r="D46" s="12" t="str">
        <f ca="1">IFERROR(__xludf.DUMMYFUNCTION("GOOGLETRANSLATE(C:C, ""en"",""tr"")"),"Alkil (C8-C10) / (C12-C14) :(% 40 veya daha az/% 60 veya daha fazla) poliglulukosit çözeltisi (% 55 veya daha az)")</f>
        <v>Alkil (C8-C10) / (C12-C14) :(% 40 veya daha az/% 60 veya daha fazla) poliglulukosit çözeltisi (% 55 veya daha az)</v>
      </c>
      <c r="E46" s="7" t="s">
        <v>184</v>
      </c>
      <c r="F46" s="7" t="s">
        <v>185</v>
      </c>
      <c r="G46" s="7">
        <v>3</v>
      </c>
    </row>
    <row r="47" spans="1:7" ht="12" customHeight="1" x14ac:dyDescent="0.2">
      <c r="A47" s="4">
        <v>46</v>
      </c>
      <c r="B47" s="5" t="s">
        <v>186</v>
      </c>
      <c r="C47" s="6" t="s">
        <v>187</v>
      </c>
      <c r="D47" s="12" t="str">
        <f ca="1">IFERROR(__xludf.DUMMYFUNCTION("GOOGLETRANSLATE(C:C, ""en"",""tr"")"),"Alkil (C8-C10) / (C12-C14) :(% 60 veya daha fazla/% 40 veya daha az) poliglulukosit çözeltisi (% 55 veya daha az)")</f>
        <v>Alkil (C8-C10) / (C12-C14) :(% 60 veya daha fazla/% 40 veya daha az) poliglulukosit çözeltisi (% 55 veya daha az)</v>
      </c>
      <c r="E47" s="7" t="s">
        <v>188</v>
      </c>
      <c r="F47" s="7" t="s">
        <v>189</v>
      </c>
      <c r="G47" s="7">
        <v>3</v>
      </c>
    </row>
    <row r="48" spans="1:7" ht="12" customHeight="1" x14ac:dyDescent="0.2">
      <c r="A48" s="4">
        <v>47</v>
      </c>
      <c r="B48" s="5" t="s">
        <v>190</v>
      </c>
      <c r="C48" s="6" t="s">
        <v>191</v>
      </c>
      <c r="D48" s="12" t="str">
        <f ca="1">IFERROR(__xludf.DUMMYFUNCTION("GOOGLETRANSLATE(C:C, ""en"",""tr"")"),"Alkil (C7-C9) Nitratlar")</f>
        <v>Alkil (C7-C9) Nitratlar</v>
      </c>
      <c r="E48" s="7" t="s">
        <v>192</v>
      </c>
      <c r="F48" s="7" t="s">
        <v>193</v>
      </c>
      <c r="G48" s="7">
        <v>2</v>
      </c>
    </row>
    <row r="49" spans="1:7" ht="12" customHeight="1" x14ac:dyDescent="0.2">
      <c r="A49" s="4">
        <v>48</v>
      </c>
      <c r="B49" s="5" t="s">
        <v>194</v>
      </c>
      <c r="C49" s="6" t="s">
        <v>2618</v>
      </c>
      <c r="D49" s="12" t="str">
        <f ca="1">IFERROR(__xludf.DUMMYFUNCTION("GOOGLETRANSLATE(C:C, ""en"",""tr"")"),"Alkil (C7-C11) Fenol Poli (4-12) Etoksilat")</f>
        <v>Alkil (C7-C11) Fenol Poli (4-12) Etoksilat</v>
      </c>
      <c r="E49" s="7" t="s">
        <v>195</v>
      </c>
      <c r="F49" s="7" t="s">
        <v>196</v>
      </c>
      <c r="G49" s="7">
        <v>2</v>
      </c>
    </row>
    <row r="50" spans="1:7" ht="12" customHeight="1" x14ac:dyDescent="0.2">
      <c r="A50" s="4">
        <v>49</v>
      </c>
      <c r="B50" s="5" t="s">
        <v>197</v>
      </c>
      <c r="C50" s="6" t="s">
        <v>198</v>
      </c>
      <c r="D50" s="12" t="str">
        <f ca="1">IFERROR(__xludf.DUMMYFUNCTION("GOOGLETRANSLATE(C:C, ""en"",""tr"")"),"Alkil (C8-C40) Fenol Sülfür")</f>
        <v>Alkil (C8-C40) Fenol Sülfür</v>
      </c>
      <c r="E50" s="7" t="s">
        <v>199</v>
      </c>
      <c r="F50" s="7" t="s">
        <v>200</v>
      </c>
      <c r="G50" s="7">
        <v>3</v>
      </c>
    </row>
    <row r="51" spans="1:7" ht="12" customHeight="1" x14ac:dyDescent="0.2">
      <c r="A51" s="4">
        <v>50</v>
      </c>
      <c r="B51" s="5" t="s">
        <v>201</v>
      </c>
      <c r="C51" s="6" t="s">
        <v>202</v>
      </c>
      <c r="D51" s="12" t="str">
        <f ca="1">IFERROR(__xludf.DUMMYFUNCTION("GOOGLETRANSLATE(C:C, ""en"",""tr"")"),"Aromatik çözücülerde alkil (C8-C9) fenilamin")</f>
        <v>Aromatik çözücülerde alkil (C8-C9) fenilamin</v>
      </c>
      <c r="E51" s="7" t="s">
        <v>203</v>
      </c>
      <c r="F51" s="7" t="s">
        <v>204</v>
      </c>
      <c r="G51" s="7">
        <v>2</v>
      </c>
    </row>
    <row r="52" spans="1:7" ht="12" customHeight="1" x14ac:dyDescent="0.2">
      <c r="A52" s="4">
        <v>51</v>
      </c>
      <c r="B52" s="5" t="s">
        <v>205</v>
      </c>
      <c r="C52" s="6" t="s">
        <v>206</v>
      </c>
      <c r="D52" s="12" t="str">
        <f ca="1">IFERROR(__xludf.DUMMYFUNCTION("GOOGLETRANSLATE(C:C, ""en"",""tr"")"),"Alkil (C9-C15) Fenil Propoksilat")</f>
        <v>Alkil (C9-C15) Fenil Propoksilat</v>
      </c>
      <c r="E52" s="7" t="s">
        <v>207</v>
      </c>
      <c r="F52" s="7" t="s">
        <v>208</v>
      </c>
      <c r="G52" s="7">
        <v>3</v>
      </c>
    </row>
    <row r="53" spans="1:7" ht="12" customHeight="1" x14ac:dyDescent="0.2">
      <c r="A53" s="4">
        <v>52</v>
      </c>
      <c r="B53" s="5" t="s">
        <v>209</v>
      </c>
      <c r="C53" s="6" t="s">
        <v>210</v>
      </c>
      <c r="D53" s="12" t="str">
        <f ca="1">IFERROR(__xludf.DUMMYFUNCTION("GOOGLETRANSLATE(C:C, ""en"",""tr"")"),"Alkil (C8-C10) Poliglucosit çözeltisi (% 65 veya daha az)")</f>
        <v>Alkil (C8-C10) Poliglucosit çözeltisi (% 65 veya daha az)</v>
      </c>
      <c r="E53" s="7" t="s">
        <v>211</v>
      </c>
      <c r="F53" s="7" t="s">
        <v>212</v>
      </c>
      <c r="G53" s="7">
        <v>3</v>
      </c>
    </row>
    <row r="54" spans="1:7" ht="12" customHeight="1" x14ac:dyDescent="0.2">
      <c r="A54" s="4">
        <v>53</v>
      </c>
      <c r="B54" s="5" t="s">
        <v>213</v>
      </c>
      <c r="C54" s="6" t="s">
        <v>214</v>
      </c>
      <c r="D54" s="12" t="str">
        <f ca="1">IFERROR(__xludf.DUMMYFUNCTION("GOOGLETRANSLATE(C:C, ""en"",""tr"")"),"Alkil (C8-C10) / (C12-C14) :(% 50/%50) Poliglucosit çözeltisi (%55 veya daha az)")</f>
        <v>Alkil (C8-C10) / (C12-C14) :(% 50/%50) Poliglucosit çözeltisi (%55 veya daha az)</v>
      </c>
      <c r="E54" s="7" t="s">
        <v>215</v>
      </c>
      <c r="F54" s="7" t="s">
        <v>216</v>
      </c>
      <c r="G54" s="7">
        <v>3</v>
      </c>
    </row>
    <row r="55" spans="1:7" ht="12" customHeight="1" x14ac:dyDescent="0.2">
      <c r="A55" s="4">
        <v>54</v>
      </c>
      <c r="B55" s="5" t="s">
        <v>217</v>
      </c>
      <c r="C55" s="6" t="s">
        <v>218</v>
      </c>
      <c r="D55" s="12" t="str">
        <f ca="1">IFERROR(__xludf.DUMMYFUNCTION("GOOGLETRANSLATE(C:C, ""en"",""tr"")"),"Alkil (C12-C14) Poliglucosit çözeltisi (%55 veya daha az)")</f>
        <v>Alkil (C12-C14) Poliglucosit çözeltisi (%55 veya daha az)</v>
      </c>
      <c r="E55" s="7" t="s">
        <v>219</v>
      </c>
      <c r="F55" s="7" t="s">
        <v>220</v>
      </c>
      <c r="G55" s="7">
        <v>3</v>
      </c>
    </row>
    <row r="56" spans="1:7" ht="12" customHeight="1" x14ac:dyDescent="0.2">
      <c r="A56" s="4">
        <v>55</v>
      </c>
      <c r="B56" s="5" t="s">
        <v>221</v>
      </c>
      <c r="C56" s="6" t="s">
        <v>221</v>
      </c>
      <c r="D56" s="12" t="str">
        <f ca="1">IFERROR(__xludf.DUMMYFUNCTION("GOOGLETRANSLATE(C:C, ""en"",""tr"")"),"Alkil (C12-C16) Propokyaamin etoksilat")</f>
        <v>Alkil (C12-C16) Propokyaamin etoksilat</v>
      </c>
      <c r="E56" s="7" t="s">
        <v>222</v>
      </c>
      <c r="F56" s="7" t="s">
        <v>223</v>
      </c>
      <c r="G56" s="7">
        <v>2</v>
      </c>
    </row>
    <row r="57" spans="1:7" ht="12" customHeight="1" x14ac:dyDescent="0.2">
      <c r="A57" s="4">
        <v>56</v>
      </c>
      <c r="B57" s="5" t="s">
        <v>224</v>
      </c>
      <c r="C57" s="6" t="s">
        <v>225</v>
      </c>
      <c r="D57" s="12" t="str">
        <f ca="1">IFERROR(__xludf.DUMMYFUNCTION("GOOGLETRANSLATE(C:C, ""en"",""tr"")"),"Alkil (C10-C15, C12 Zengin) Fenol Poli (4-12) Etoksilat")</f>
        <v>Alkil (C10-C15, C12 Zengin) Fenol Poli (4-12) Etoksilat</v>
      </c>
      <c r="E57" s="7" t="s">
        <v>226</v>
      </c>
      <c r="F57" s="7" t="s">
        <v>227</v>
      </c>
      <c r="G57" s="7">
        <v>2</v>
      </c>
    </row>
    <row r="58" spans="1:7" ht="12" customHeight="1" x14ac:dyDescent="0.2">
      <c r="A58" s="4">
        <v>57</v>
      </c>
      <c r="B58" s="5" t="s">
        <v>228</v>
      </c>
      <c r="C58" s="6" t="s">
        <v>229</v>
      </c>
      <c r="D58" s="12" t="str">
        <f ca="1">IFERROR(__xludf.DUMMYFUNCTION("GOOGLETRANSLATE(C:C, ""en"",""tr"")"),"Alkil (C18+) Tolüenler")</f>
        <v>Alkil (C18+) Tolüenler</v>
      </c>
      <c r="E58" s="7" t="s">
        <v>230</v>
      </c>
      <c r="F58" s="7" t="s">
        <v>231</v>
      </c>
      <c r="G58" s="7">
        <v>2</v>
      </c>
    </row>
    <row r="59" spans="1:7" ht="12" customHeight="1" x14ac:dyDescent="0.2">
      <c r="A59" s="4">
        <v>58</v>
      </c>
      <c r="B59" s="5" t="s">
        <v>232</v>
      </c>
      <c r="C59" s="6" t="s">
        <v>233</v>
      </c>
      <c r="D59" s="12" t="str">
        <f ca="1">IFERROR(__xludf.DUMMYFUNCTION("GOOGLETRANSLATE(C:C, ""en"",""tr"")"),"Alkil (C18-C28) Tolüensülfonik Asit")</f>
        <v>Alkil (C18-C28) Tolüensülfonik Asit</v>
      </c>
      <c r="E59" s="7" t="s">
        <v>234</v>
      </c>
      <c r="F59" s="7" t="s">
        <v>235</v>
      </c>
      <c r="G59" s="7">
        <v>2</v>
      </c>
    </row>
    <row r="60" spans="1:7" ht="12" customHeight="1" x14ac:dyDescent="0.2">
      <c r="A60" s="4">
        <v>59</v>
      </c>
      <c r="B60" s="5" t="s">
        <v>236</v>
      </c>
      <c r="C60" s="6" t="s">
        <v>237</v>
      </c>
      <c r="D60" s="12" t="str">
        <f ca="1">IFERROR(__xludf.DUMMYFUNCTION("GOOGLETRANSLATE(C:C, ""en"",""tr"")"),"Alkil (C18-C28) Tolüensülfonik Asit, Kalsiyum Tuzları, Boratlanmış")</f>
        <v>Alkil (C18-C28) Tolüensülfonik Asit, Kalsiyum Tuzları, Boratlanmış</v>
      </c>
      <c r="E60" s="7" t="s">
        <v>238</v>
      </c>
      <c r="F60" s="7" t="s">
        <v>239</v>
      </c>
      <c r="G60" s="7">
        <v>3</v>
      </c>
    </row>
    <row r="61" spans="1:7" ht="12" customHeight="1" x14ac:dyDescent="0.2">
      <c r="A61" s="4">
        <v>60</v>
      </c>
      <c r="B61" s="5" t="s">
        <v>240</v>
      </c>
      <c r="C61" s="6" t="s">
        <v>241</v>
      </c>
      <c r="D61" s="12" t="str">
        <f ca="1">IFERROR(__xludf.DUMMYFUNCTION("GOOGLETRANSLATE(C:C, ""en"",""tr"")"),"Alkil (C18-C28) Toluensülfonik Asit, Kalsiyum Tuzları, Yüksek Kararlı")</f>
        <v>Alkil (C18-C28) Toluensülfonik Asit, Kalsiyum Tuzları, Yüksek Kararlı</v>
      </c>
      <c r="E61" s="7" t="s">
        <v>242</v>
      </c>
      <c r="F61" s="7" t="s">
        <v>243</v>
      </c>
      <c r="G61" s="7">
        <v>3</v>
      </c>
    </row>
    <row r="62" spans="1:7" ht="12" customHeight="1" x14ac:dyDescent="0.2">
      <c r="A62" s="4">
        <v>61</v>
      </c>
      <c r="B62" s="5" t="s">
        <v>244</v>
      </c>
      <c r="C62" s="6" t="s">
        <v>245</v>
      </c>
      <c r="D62" s="12" t="str">
        <f ca="1">IFERROR(__xludf.DUMMYFUNCTION("GOOGLETRANSLATE(C:C, ""en"",""tr"")"),"Alkil (C18-C28) Toluensülfonik Asit, Kalsiyum Tuzları, Düşük Kararlı")</f>
        <v>Alkil (C18-C28) Toluensülfonik Asit, Kalsiyum Tuzları, Düşük Kararlı</v>
      </c>
      <c r="E62" s="7" t="s">
        <v>246</v>
      </c>
      <c r="F62" s="7" t="s">
        <v>247</v>
      </c>
      <c r="G62" s="7">
        <v>2</v>
      </c>
    </row>
    <row r="63" spans="1:7" ht="12" customHeight="1" x14ac:dyDescent="0.2">
      <c r="A63" s="4">
        <v>62</v>
      </c>
      <c r="B63" s="5" t="s">
        <v>248</v>
      </c>
      <c r="C63" s="6" t="s">
        <v>249</v>
      </c>
      <c r="D63" s="12" t="str">
        <f ca="1">IFERROR(__xludf.DUMMYFUNCTION("GOOGLETRANSLATE(C:C, ""en"",""tr"")"),"Alil alkol")</f>
        <v>Alil alkol</v>
      </c>
      <c r="E63" s="7" t="s">
        <v>250</v>
      </c>
      <c r="F63" s="7" t="s">
        <v>251</v>
      </c>
      <c r="G63" s="7">
        <v>2</v>
      </c>
    </row>
    <row r="64" spans="1:7" ht="12" customHeight="1" x14ac:dyDescent="0.2">
      <c r="A64" s="4">
        <v>63</v>
      </c>
      <c r="B64" s="5" t="s">
        <v>252</v>
      </c>
      <c r="C64" s="6" t="s">
        <v>253</v>
      </c>
      <c r="D64" s="12" t="str">
        <f ca="1">IFERROR(__xludf.DUMMYFUNCTION("GOOGLETRANSLATE(C:C, ""en"",""tr"")"),"Alil klorür")</f>
        <v>Alil klorür</v>
      </c>
      <c r="E64" s="7" t="s">
        <v>254</v>
      </c>
      <c r="F64" s="7" t="s">
        <v>255</v>
      </c>
      <c r="G64" s="7">
        <v>2</v>
      </c>
    </row>
    <row r="65" spans="1:7" ht="12" customHeight="1" x14ac:dyDescent="0.2">
      <c r="A65" s="4">
        <v>64</v>
      </c>
      <c r="B65" s="5" t="s">
        <v>256</v>
      </c>
      <c r="C65" s="6" t="s">
        <v>257</v>
      </c>
      <c r="D65" s="12" t="str">
        <f ca="1">IFERROR(__xludf.DUMMYFUNCTION("GOOGLETRANSLATE(C:C, ""en"",""tr"")"),"Alüminyum klorür / hidrojen klorür çözeltisi")</f>
        <v>Alüminyum klorür / hidrojen klorür çözeltisi</v>
      </c>
      <c r="E65" s="7" t="s">
        <v>258</v>
      </c>
      <c r="F65" s="7" t="s">
        <v>259</v>
      </c>
      <c r="G65" s="7">
        <v>2</v>
      </c>
    </row>
    <row r="66" spans="1:7" ht="12" customHeight="1" x14ac:dyDescent="0.2">
      <c r="A66" s="4">
        <v>65</v>
      </c>
      <c r="B66" s="5" t="s">
        <v>260</v>
      </c>
      <c r="C66" s="6" t="s">
        <v>261</v>
      </c>
      <c r="D66" s="12" t="str">
        <f ca="1">IFERROR(__xludf.DUMMYFUNCTION("GOOGLETRANSLATE(C:C, ""en"",""tr"")"),"Alüminyum hidroksit, sodyum hidroksit, sodyum karbonat çözeltisi (% 40 veya daha az)")</f>
        <v>Alüminyum hidroksit, sodyum hidroksit, sodyum karbonat çözeltisi (% 40 veya daha az)</v>
      </c>
      <c r="E66" s="7" t="s">
        <v>262</v>
      </c>
      <c r="F66" s="7" t="s">
        <v>263</v>
      </c>
      <c r="G66" s="7">
        <v>2</v>
      </c>
    </row>
    <row r="67" spans="1:7" ht="12" customHeight="1" x14ac:dyDescent="0.2">
      <c r="A67" s="4">
        <v>66</v>
      </c>
      <c r="B67" s="5" t="s">
        <v>264</v>
      </c>
      <c r="C67" s="6" t="s">
        <v>265</v>
      </c>
      <c r="D67" s="12" t="str">
        <f ca="1">IFERROR(__xludf.DUMMYFUNCTION("GOOGLETRANSLATE(C:C, ""en"",""tr"")"),"Alüminyum sülfat çözeltisi")</f>
        <v>Alüminyum sülfat çözeltisi</v>
      </c>
      <c r="E67" s="7" t="s">
        <v>266</v>
      </c>
      <c r="F67" s="7" t="s">
        <v>267</v>
      </c>
      <c r="G67" s="7">
        <v>2</v>
      </c>
    </row>
    <row r="68" spans="1:7" ht="12" customHeight="1" x14ac:dyDescent="0.2">
      <c r="A68" s="4">
        <v>67</v>
      </c>
      <c r="B68" s="5" t="s">
        <v>268</v>
      </c>
      <c r="C68" s="6" t="s">
        <v>269</v>
      </c>
      <c r="D68" s="12" t="str">
        <f ca="1">IFERROR(__xludf.DUMMYFUNCTION("GOOGLETRANSLATE(C:C, ""en"",""tr"")"),"2- (2-aminoetoksi) etanol")</f>
        <v>2- (2-aminoetoksi) etanol</v>
      </c>
      <c r="E68" s="7" t="s">
        <v>270</v>
      </c>
      <c r="F68" s="7" t="s">
        <v>271</v>
      </c>
      <c r="G68" s="7">
        <v>3</v>
      </c>
    </row>
    <row r="69" spans="1:7" ht="12" customHeight="1" x14ac:dyDescent="0.2">
      <c r="A69" s="4">
        <v>68</v>
      </c>
      <c r="B69" s="5" t="s">
        <v>272</v>
      </c>
      <c r="C69" s="6" t="s">
        <v>273</v>
      </c>
      <c r="D69" s="12" t="str">
        <f ca="1">IFERROR(__xludf.DUMMYFUNCTION("GOOGLETRANSLATE(C:C, ""en"",""tr"")"),"Aminoetildietanolamin / aminoethylethanola maden çözeltisi")</f>
        <v>Aminoetildietanolamin / aminoethylethanola maden çözeltisi</v>
      </c>
      <c r="E69" s="7" t="s">
        <v>274</v>
      </c>
      <c r="F69" s="7" t="s">
        <v>275</v>
      </c>
      <c r="G69" s="7">
        <v>3</v>
      </c>
    </row>
    <row r="70" spans="1:7" ht="12" customHeight="1" x14ac:dyDescent="0.2">
      <c r="A70" s="4">
        <v>69</v>
      </c>
      <c r="B70" s="5" t="s">
        <v>276</v>
      </c>
      <c r="C70" s="6" t="s">
        <v>277</v>
      </c>
      <c r="D70" s="12" t="str">
        <f ca="1">IFERROR(__xludf.DUMMYFUNCTION("GOOGLETRANSLATE(C:C, ""en"",""tr"")"),"Aminoetil etanolamin")</f>
        <v>Aminoetil etanolamin</v>
      </c>
      <c r="E70" s="7" t="s">
        <v>278</v>
      </c>
      <c r="F70" s="7" t="s">
        <v>279</v>
      </c>
      <c r="G70" s="7">
        <v>3</v>
      </c>
    </row>
    <row r="71" spans="1:7" ht="12" customHeight="1" x14ac:dyDescent="0.2">
      <c r="A71" s="4">
        <v>70</v>
      </c>
      <c r="B71" s="5" t="s">
        <v>280</v>
      </c>
      <c r="C71" s="6" t="s">
        <v>281</v>
      </c>
      <c r="D71" s="12" t="str">
        <f ca="1">IFERROR(__xludf.DUMMYFUNCTION("GOOGLETRANSLATE(C:C, ""en"",""tr"")"),"N-aminoetilpiperazin")</f>
        <v>N-aminoetilpiperazin</v>
      </c>
      <c r="E71" s="7" t="s">
        <v>282</v>
      </c>
      <c r="F71" s="7" t="s">
        <v>283</v>
      </c>
      <c r="G71" s="7">
        <v>3</v>
      </c>
    </row>
    <row r="72" spans="1:7" ht="12" customHeight="1" x14ac:dyDescent="0.2">
      <c r="A72" s="4">
        <v>71</v>
      </c>
      <c r="B72" s="5" t="s">
        <v>284</v>
      </c>
      <c r="C72" s="6" t="s">
        <v>285</v>
      </c>
      <c r="D72" s="12" t="str">
        <f ca="1">IFERROR(__xludf.DUMMYFUNCTION("GOOGLETRANSLATE(C:C, ""en"",""tr"")"),"2-amino-2-metil-1-propanol")</f>
        <v>2-amino-2-metil-1-propanol</v>
      </c>
      <c r="E72" s="7" t="s">
        <v>286</v>
      </c>
      <c r="F72" s="7" t="s">
        <v>287</v>
      </c>
      <c r="G72" s="7">
        <v>3</v>
      </c>
    </row>
    <row r="73" spans="1:7" ht="12" customHeight="1" x14ac:dyDescent="0.2">
      <c r="A73" s="4">
        <v>72</v>
      </c>
      <c r="B73" s="5" t="s">
        <v>288</v>
      </c>
      <c r="C73" s="6" t="s">
        <v>289</v>
      </c>
      <c r="D73" s="12" t="str">
        <f ca="1">IFERROR(__xludf.DUMMYFUNCTION("GOOGLETRANSLATE(C:C, ""en"",""tr"")"),"Amonyak sulu (% 28 veya daha az)")</f>
        <v>Amonyak sulu (% 28 veya daha az)</v>
      </c>
      <c r="E73" s="7" t="s">
        <v>290</v>
      </c>
      <c r="F73" s="7" t="s">
        <v>291</v>
      </c>
      <c r="G73" s="7">
        <v>2</v>
      </c>
    </row>
    <row r="74" spans="1:7" ht="12" customHeight="1" x14ac:dyDescent="0.2">
      <c r="A74" s="4">
        <v>73</v>
      </c>
      <c r="B74" s="5" t="s">
        <v>292</v>
      </c>
      <c r="C74" s="6" t="s">
        <v>293</v>
      </c>
      <c r="D74" s="12" t="str">
        <f ca="1">IFERROR(__xludf.DUMMYFUNCTION("GOOGLETRANSLATE(C:C, ""en"",""tr"")"),"Amonyum klorür çözeltisi (% 25'ten az) (*)")</f>
        <v>Amonyum klorür çözeltisi (% 25'ten az) (*)</v>
      </c>
      <c r="E74" s="7" t="s">
        <v>294</v>
      </c>
      <c r="F74" s="7" t="s">
        <v>295</v>
      </c>
      <c r="G74" s="7">
        <v>3</v>
      </c>
    </row>
    <row r="75" spans="1:7" ht="12" customHeight="1" x14ac:dyDescent="0.2">
      <c r="A75" s="4">
        <v>74</v>
      </c>
      <c r="B75" s="5" t="s">
        <v>296</v>
      </c>
      <c r="C75" s="6" t="s">
        <v>297</v>
      </c>
      <c r="D75" s="12" t="str">
        <f ca="1">IFERROR(__xludf.DUMMYFUNCTION("GOOGLETRANSLATE(C:C, ""en"",""tr"")"),"Amonyum nitrat çözeltisi (% 93 veya daha az) (*)")</f>
        <v>Amonyum nitrat çözeltisi (% 93 veya daha az) (*)</v>
      </c>
      <c r="E75" s="7" t="s">
        <v>298</v>
      </c>
      <c r="F75" s="7" t="s">
        <v>299</v>
      </c>
      <c r="G75" s="7">
        <v>2</v>
      </c>
    </row>
    <row r="76" spans="1:7" ht="12" customHeight="1" x14ac:dyDescent="0.2">
      <c r="A76" s="4">
        <v>75</v>
      </c>
      <c r="B76" s="5" t="s">
        <v>300</v>
      </c>
      <c r="C76" s="6" t="s">
        <v>301</v>
      </c>
      <c r="D76" s="12" t="str">
        <f ca="1">IFERROR(__xludf.DUMMYFUNCTION("GOOGLETRANSLATE(C:C, ""en"",""tr"")"),"Amonyum sülfit çözeltisi (% 45 veya daha az) (*)")</f>
        <v>Amonyum sülfit çözeltisi (% 45 veya daha az) (*)</v>
      </c>
      <c r="E76" s="7" t="s">
        <v>302</v>
      </c>
      <c r="F76" s="7" t="s">
        <v>303</v>
      </c>
      <c r="G76" s="7">
        <v>2</v>
      </c>
    </row>
    <row r="77" spans="1:7" ht="12" customHeight="1" x14ac:dyDescent="0.2">
      <c r="A77" s="4">
        <v>76</v>
      </c>
      <c r="B77" s="5" t="s">
        <v>304</v>
      </c>
      <c r="C77" s="6" t="s">
        <v>305</v>
      </c>
      <c r="D77" s="12" t="str">
        <f ca="1">IFERROR(__xludf.DUMMYFUNCTION("GOOGLETRANSLATE(C:C, ""en"",""tr"")"),"Amonyum tiyosülfat çözeltisi (% 60 veya daha az)")</f>
        <v>Amonyum tiyosülfat çözeltisi (% 60 veya daha az)</v>
      </c>
      <c r="E77" s="7" t="s">
        <v>306</v>
      </c>
      <c r="F77" s="7" t="s">
        <v>307</v>
      </c>
      <c r="G77" s="7">
        <v>3</v>
      </c>
    </row>
    <row r="78" spans="1:7" ht="12" customHeight="1" x14ac:dyDescent="0.2">
      <c r="A78" s="4">
        <v>77</v>
      </c>
      <c r="B78" s="5" t="s">
        <v>308</v>
      </c>
      <c r="C78" s="6" t="s">
        <v>309</v>
      </c>
      <c r="D78" s="12" t="str">
        <f ca="1">IFERROR(__xludf.DUMMYFUNCTION("GOOGLETRANSLATE(C:C, ""en"",""tr"")"),"Amil Asetat (Tüm İzomerler)")</f>
        <v>Amil Asetat (Tüm İzomerler)</v>
      </c>
      <c r="E78" s="7" t="s">
        <v>310</v>
      </c>
      <c r="F78" s="7" t="s">
        <v>311</v>
      </c>
      <c r="G78" s="7">
        <v>3</v>
      </c>
    </row>
    <row r="79" spans="1:7" ht="12" customHeight="1" x14ac:dyDescent="0.2">
      <c r="A79" s="4">
        <v>78</v>
      </c>
      <c r="B79" s="5" t="s">
        <v>312</v>
      </c>
      <c r="C79" s="6" t="s">
        <v>313</v>
      </c>
      <c r="D79" s="12" t="str">
        <f ca="1">IFERROR(__xludf.DUMMYFUNCTION("GOOGLETRANSLATE(C:C, ""en"",""tr"")"),"N-amil alkol")</f>
        <v>N-amil alkol</v>
      </c>
      <c r="E79" s="7" t="s">
        <v>314</v>
      </c>
      <c r="F79" s="7" t="s">
        <v>315</v>
      </c>
      <c r="G79" s="7">
        <v>2</v>
      </c>
    </row>
    <row r="80" spans="1:7" ht="12" customHeight="1" x14ac:dyDescent="0.2">
      <c r="A80" s="4">
        <v>79</v>
      </c>
      <c r="B80" s="5" t="s">
        <v>316</v>
      </c>
      <c r="C80" s="6" t="s">
        <v>317</v>
      </c>
      <c r="D80" s="12" t="str">
        <f ca="1">IFERROR(__xludf.DUMMYFUNCTION("GOOGLETRANSLATE(C:C, ""en"",""tr"")"),"Amil alkol, birincil")</f>
        <v>Amil alkol, birincil</v>
      </c>
      <c r="E80" s="7" t="s">
        <v>318</v>
      </c>
      <c r="F80" s="7" t="s">
        <v>319</v>
      </c>
      <c r="G80" s="7">
        <v>3</v>
      </c>
    </row>
    <row r="81" spans="1:7" ht="12" customHeight="1" x14ac:dyDescent="0.2">
      <c r="A81" s="4">
        <v>80</v>
      </c>
      <c r="B81" s="5" t="s">
        <v>320</v>
      </c>
      <c r="C81" s="6" t="s">
        <v>321</v>
      </c>
      <c r="D81" s="12" t="str">
        <f ca="1">IFERROR(__xludf.DUMMYFUNCTION("GOOGLETRANSLATE(C:C, ""en"",""tr"")"),"Sec-amil alkol")</f>
        <v>Sec-amil alkol</v>
      </c>
      <c r="E81" s="7" t="s">
        <v>322</v>
      </c>
      <c r="F81" s="7" t="s">
        <v>323</v>
      </c>
      <c r="G81" s="7">
        <v>3</v>
      </c>
    </row>
    <row r="82" spans="1:7" ht="12" customHeight="1" x14ac:dyDescent="0.2">
      <c r="A82" s="4">
        <v>81</v>
      </c>
      <c r="B82" s="5" t="s">
        <v>324</v>
      </c>
      <c r="C82" s="6" t="s">
        <v>325</v>
      </c>
      <c r="D82" s="12" t="str">
        <f ca="1">IFERROR(__xludf.DUMMYFUNCTION("GOOGLETRANSLATE(C:C, ""en"",""tr"")"),"Tert-amil alkol")</f>
        <v>Tert-amil alkol</v>
      </c>
      <c r="E82" s="7" t="s">
        <v>326</v>
      </c>
      <c r="F82" s="7" t="s">
        <v>327</v>
      </c>
      <c r="G82" s="7">
        <v>3</v>
      </c>
    </row>
    <row r="83" spans="1:7" ht="12" customHeight="1" x14ac:dyDescent="0.2">
      <c r="A83" s="4">
        <v>82</v>
      </c>
      <c r="B83" s="5" t="s">
        <v>328</v>
      </c>
      <c r="C83" s="6" t="s">
        <v>329</v>
      </c>
      <c r="D83" s="12" t="str">
        <f ca="1">IFERROR(__xludf.DUMMYFUNCTION("GOOGLETRANSLATE(C:C, ""en"",""tr"")"),"Tert-amil metil eter")</f>
        <v>Tert-amil metil eter</v>
      </c>
      <c r="E83" s="7" t="s">
        <v>330</v>
      </c>
      <c r="F83" s="7" t="s">
        <v>331</v>
      </c>
      <c r="G83" s="7">
        <v>2</v>
      </c>
    </row>
    <row r="84" spans="1:7" ht="12" customHeight="1" x14ac:dyDescent="0.2">
      <c r="A84" s="4">
        <v>83</v>
      </c>
      <c r="B84" s="5" t="s">
        <v>332</v>
      </c>
      <c r="C84" s="6" t="s">
        <v>333</v>
      </c>
      <c r="D84" s="12" t="str">
        <f ca="1">IFERROR(__xludf.DUMMYFUNCTION("GOOGLETRANSLATE(C:C, ""en"",""tr"")"),"Anilin")</f>
        <v>Anilin</v>
      </c>
      <c r="E84" s="7" t="s">
        <v>334</v>
      </c>
      <c r="F84" s="7" t="s">
        <v>335</v>
      </c>
      <c r="G84" s="7">
        <v>2</v>
      </c>
    </row>
    <row r="85" spans="1:7" ht="12" customHeight="1" x14ac:dyDescent="0.2">
      <c r="A85" s="4">
        <v>84</v>
      </c>
      <c r="B85" s="5" t="s">
        <v>336</v>
      </c>
      <c r="C85" s="6" t="s">
        <v>337</v>
      </c>
      <c r="D85" s="12" t="str">
        <f ca="1">IFERROR(__xludf.DUMMYFUNCTION("GOOGLETRANSLATE(C:C, ""en"",""tr"")"),"Havacılık alkilatları (C8 parafinleri ve ISO-parafinler BPT 95 - 120 ° C)")</f>
        <v>Havacılık alkilatları (C8 parafinleri ve ISO-parafinler BPT 95 - 120 ° C)</v>
      </c>
      <c r="E85" s="7" t="s">
        <v>338</v>
      </c>
      <c r="F85" s="7" t="s">
        <v>339</v>
      </c>
      <c r="G85" s="7">
        <v>2</v>
      </c>
    </row>
    <row r="86" spans="1:7" ht="12" customHeight="1" x14ac:dyDescent="0.2">
      <c r="A86" s="4">
        <v>85</v>
      </c>
      <c r="B86" s="5" t="s">
        <v>340</v>
      </c>
      <c r="C86" s="6" t="s">
        <v>341</v>
      </c>
      <c r="D86" s="12" t="str">
        <f ca="1">IFERROR(__xludf.DUMMYFUNCTION("GOOGLETRANSLATE(C:C, ""en"",""tr"")"),"Baryum Uzun Zincir (C11-C50) Alkaril Sülfonat")</f>
        <v>Baryum Uzun Zincir (C11-C50) Alkaril Sülfonat</v>
      </c>
      <c r="E86" s="7" t="s">
        <v>342</v>
      </c>
      <c r="F86" s="7" t="s">
        <v>343</v>
      </c>
      <c r="G86" s="7">
        <v>2</v>
      </c>
    </row>
    <row r="87" spans="1:7" ht="12" customHeight="1" x14ac:dyDescent="0.2">
      <c r="A87" s="4">
        <v>86</v>
      </c>
      <c r="B87" s="5" t="s">
        <v>344</v>
      </c>
      <c r="C87" s="6" t="s">
        <v>345</v>
      </c>
      <c r="D87" s="12" t="str">
        <f ca="1">IFERROR(__xludf.DUMMYFUNCTION("GOOGLETRANSLATE(C:C, ""en"",""tr"")"),"Benzen ve %10 benzen veya daha fazlasına sahip karışımlar (i)")</f>
        <v>Benzen ve %10 benzen veya daha fazlasına sahip karışımlar (i)</v>
      </c>
      <c r="E87" s="7" t="s">
        <v>346</v>
      </c>
      <c r="F87" s="7" t="s">
        <v>347</v>
      </c>
      <c r="G87" s="7">
        <v>3</v>
      </c>
    </row>
    <row r="88" spans="1:7" ht="12" customHeight="1" x14ac:dyDescent="0.2">
      <c r="A88" s="4">
        <v>87</v>
      </c>
      <c r="B88" s="5" t="s">
        <v>348</v>
      </c>
      <c r="C88" s="6" t="s">
        <v>349</v>
      </c>
      <c r="D88" s="12" t="str">
        <f ca="1">IFERROR(__xludf.DUMMYFUNCTION("GOOGLETRANSLATE(C:C, ""en"",""tr"")"),"Benzen sülfonil klorür")</f>
        <v>Benzen sülfonil klorür</v>
      </c>
      <c r="E88" s="7" t="s">
        <v>350</v>
      </c>
      <c r="F88" s="7" t="s">
        <v>351</v>
      </c>
      <c r="G88" s="7">
        <v>3</v>
      </c>
    </row>
    <row r="89" spans="1:7" ht="12" customHeight="1" x14ac:dyDescent="0.2">
      <c r="A89" s="4">
        <v>88</v>
      </c>
      <c r="B89" s="5" t="s">
        <v>352</v>
      </c>
      <c r="C89" s="6" t="s">
        <v>353</v>
      </c>
      <c r="D89" s="12" t="str">
        <f ca="1">IFERROR(__xludf.DUMMYFUNCTION("GOOGLETRANSLATE(C:C, ""en"",""tr"")"),"Benzenetricarboksilik asit, triostyl ester")</f>
        <v>Benzenetricarboksilik asit, triostyl ester</v>
      </c>
      <c r="E89" s="7" t="s">
        <v>354</v>
      </c>
      <c r="F89" s="7" t="s">
        <v>355</v>
      </c>
      <c r="G89" s="7">
        <v>2</v>
      </c>
    </row>
    <row r="90" spans="1:7" ht="12" customHeight="1" x14ac:dyDescent="0.2">
      <c r="A90" s="4">
        <v>89</v>
      </c>
      <c r="B90" s="5" t="s">
        <v>356</v>
      </c>
      <c r="C90" s="6" t="s">
        <v>357</v>
      </c>
      <c r="D90" s="12" t="str">
        <f ca="1">IFERROR(__xludf.DUMMYFUNCTION("GOOGLETRANSLATE(C:C, ""en"",""tr"")"),"Benzil asetat")</f>
        <v>Benzil asetat</v>
      </c>
      <c r="E90" s="7" t="s">
        <v>358</v>
      </c>
      <c r="F90" s="7" t="s">
        <v>359</v>
      </c>
      <c r="G90" s="7">
        <v>2</v>
      </c>
    </row>
    <row r="91" spans="1:7" ht="12" customHeight="1" x14ac:dyDescent="0.2">
      <c r="A91" s="4">
        <v>90</v>
      </c>
      <c r="B91" s="5" t="s">
        <v>360</v>
      </c>
      <c r="C91" s="6" t="s">
        <v>361</v>
      </c>
      <c r="D91" s="12" t="str">
        <f ca="1">IFERROR(__xludf.DUMMYFUNCTION("GOOGLETRANSLATE(C:C, ""en"",""tr"")"),"Benzil alkol")</f>
        <v>Benzil alkol</v>
      </c>
      <c r="E91" s="7" t="s">
        <v>362</v>
      </c>
      <c r="F91" s="7" t="s">
        <v>363</v>
      </c>
      <c r="G91" s="7">
        <v>3</v>
      </c>
    </row>
    <row r="92" spans="1:7" ht="12" customHeight="1" x14ac:dyDescent="0.2">
      <c r="A92" s="4">
        <v>91</v>
      </c>
      <c r="B92" s="5" t="s">
        <v>364</v>
      </c>
      <c r="C92" s="6" t="s">
        <v>365</v>
      </c>
      <c r="D92" s="12" t="str">
        <f ca="1">IFERROR(__xludf.DUMMYFUNCTION("GOOGLETRANSLATE(C:C, ""en"",""tr"")"),"Benzil klorür")</f>
        <v>Benzil klorür</v>
      </c>
      <c r="E92" s="7" t="s">
        <v>366</v>
      </c>
      <c r="F92" s="7" t="s">
        <v>367</v>
      </c>
      <c r="G92" s="7">
        <v>2</v>
      </c>
    </row>
    <row r="93" spans="1:7" ht="12" customHeight="1" x14ac:dyDescent="0.2">
      <c r="A93" s="4">
        <v>92</v>
      </c>
      <c r="B93" s="5" t="s">
        <v>368</v>
      </c>
      <c r="C93" s="6" t="s">
        <v>369</v>
      </c>
      <c r="D93" s="12" t="str">
        <f ca="1">IFERROR(__xludf.DUMMYFUNCTION("GOOGLETRANSLATE(C:C, ""en"",""tr"")"),"Dizel / gaz yağı biyo-yakıt karışımları (&gt;% 25 fakat &lt;% 99)")</f>
        <v>Dizel / gaz yağı biyo-yakıt karışımları (&gt;% 25 fakat &lt;% 99)</v>
      </c>
      <c r="E93" s="7" t="s">
        <v>370</v>
      </c>
      <c r="F93" s="7" t="s">
        <v>371</v>
      </c>
      <c r="G93" s="7">
        <v>2</v>
      </c>
    </row>
    <row r="94" spans="1:7" ht="12" customHeight="1" x14ac:dyDescent="0.2">
      <c r="A94" s="4">
        <v>93</v>
      </c>
      <c r="B94" s="5" t="s">
        <v>372</v>
      </c>
      <c r="C94" s="6" t="s">
        <v>373</v>
      </c>
      <c r="D94" s="12" t="str">
        <f ca="1">IFERROR(__xludf.DUMMYFUNCTION("GOOGLETRANSLATE(C:C, ""en"",""tr"")"),"Dizel / gaz yağı ve bitkisel yağ biyo-yakıt karışımları (&gt;% 25 fakat &lt;% 99)")</f>
        <v>Dizel / gaz yağı ve bitkisel yağ biyo-yakıt karışımları (&gt;% 25 fakat &lt;% 99)</v>
      </c>
      <c r="E94" s="7" t="s">
        <v>374</v>
      </c>
      <c r="F94" s="7" t="s">
        <v>375</v>
      </c>
      <c r="G94" s="7">
        <v>2</v>
      </c>
    </row>
    <row r="95" spans="1:7" ht="12" customHeight="1" x14ac:dyDescent="0.2">
      <c r="A95" s="4">
        <v>94</v>
      </c>
      <c r="B95" s="5" t="s">
        <v>376</v>
      </c>
      <c r="C95" s="6" t="s">
        <v>377</v>
      </c>
      <c r="D95" s="12" t="str">
        <f ca="1">IFERROR(__xludf.DUMMYFUNCTION("GOOGLETRANSLATE(C:C, ""en"",""tr"")"),"Benzin ve etil alkol biyo-yakıt karışımları (&gt;% 25 fakat &lt;hacimce% 99)")</f>
        <v>Benzin ve etil alkol biyo-yakıt karışımları (&gt;% 25 fakat &lt;hacimce% 99)</v>
      </c>
      <c r="E95" s="7" t="s">
        <v>378</v>
      </c>
      <c r="F95" s="7" t="s">
        <v>379</v>
      </c>
      <c r="G95" s="7">
        <v>2</v>
      </c>
    </row>
    <row r="96" spans="1:7" ht="12" customHeight="1" x14ac:dyDescent="0.2">
      <c r="A96" s="4">
        <v>95</v>
      </c>
      <c r="B96" s="5" t="s">
        <v>380</v>
      </c>
      <c r="C96" s="6" t="s">
        <v>381</v>
      </c>
      <c r="D96" s="12" t="str">
        <f ca="1">IFERROR(__xludf.DUMMYFUNCTION("GOOGLETRANSLATE(C:C, ""en"",""tr"")"),"Bis (2-etilheksil) tereftalat")</f>
        <v>Bis (2-etilheksil) tereftalat</v>
      </c>
      <c r="E96" s="7" t="s">
        <v>382</v>
      </c>
      <c r="F96" s="7" t="s">
        <v>383</v>
      </c>
      <c r="G96" s="7">
        <v>2</v>
      </c>
    </row>
    <row r="97" spans="1:7" ht="12" customHeight="1" x14ac:dyDescent="0.2">
      <c r="A97" s="4">
        <v>96</v>
      </c>
      <c r="B97" s="5" t="s">
        <v>384</v>
      </c>
      <c r="C97" s="6" t="s">
        <v>385</v>
      </c>
      <c r="D97" s="12" t="str">
        <f ca="1">IFERROR(__xludf.DUMMYFUNCTION("GOOGLETRANSLATE(C:C, ""en"",""tr"")"),"2-Butoksietanol (% 58) / Hiperdallanmış Polyesteramid (% 42) (karışım)")</f>
        <v>2-Butoksietanol (% 58) / Hiperdallanmış Polyesteramid (% 42) (karışım)</v>
      </c>
      <c r="E97" s="7" t="s">
        <v>386</v>
      </c>
      <c r="F97" s="7" t="s">
        <v>387</v>
      </c>
      <c r="G97" s="7">
        <v>2</v>
      </c>
    </row>
    <row r="98" spans="1:7" ht="12" customHeight="1" x14ac:dyDescent="0.2">
      <c r="A98" s="4">
        <v>97</v>
      </c>
      <c r="B98" s="5" t="s">
        <v>388</v>
      </c>
      <c r="C98" s="6" t="s">
        <v>389</v>
      </c>
      <c r="D98" s="12" t="str">
        <f ca="1">IFERROR(__xludf.DUMMYFUNCTION("GOOGLETRANSLATE(C:C, ""en"",""tr"")"),"Butil Akrilat (Tüm İzomerler)")</f>
        <v>Butil Akrilat (Tüm İzomerler)</v>
      </c>
      <c r="E98" s="7" t="s">
        <v>390</v>
      </c>
      <c r="F98" s="7" t="s">
        <v>391</v>
      </c>
      <c r="G98" s="7">
        <v>3</v>
      </c>
    </row>
    <row r="99" spans="1:7" ht="12" customHeight="1" x14ac:dyDescent="0.2">
      <c r="A99" s="4">
        <v>98</v>
      </c>
      <c r="B99" s="5" t="s">
        <v>392</v>
      </c>
      <c r="C99" s="6" t="s">
        <v>393</v>
      </c>
      <c r="D99" s="12" t="str">
        <f ca="1">IFERROR(__xludf.DUMMYFUNCTION("GOOGLETRANSLATE(C:C, ""en"",""tr"")"),"Butilamin (tüm izomerler)")</f>
        <v>Butilamin (tüm izomerler)</v>
      </c>
      <c r="E99" s="7" t="s">
        <v>394</v>
      </c>
      <c r="F99" s="7" t="s">
        <v>395</v>
      </c>
      <c r="G99" s="7">
        <v>2</v>
      </c>
    </row>
    <row r="100" spans="1:7" ht="12" customHeight="1" x14ac:dyDescent="0.2">
      <c r="A100" s="4">
        <v>99</v>
      </c>
      <c r="B100" s="5" t="s">
        <v>396</v>
      </c>
      <c r="C100" s="6" t="s">
        <v>397</v>
      </c>
      <c r="D100" s="12" t="str">
        <f ca="1">IFERROR(__xludf.DUMMYFUNCTION("GOOGLETRANSLATE(C:C, ""en"",""tr"")"),"Bütilbenzen (tüm izomerler)")</f>
        <v>Bütilbenzen (tüm izomerler)</v>
      </c>
      <c r="E100" s="7" t="s">
        <v>398</v>
      </c>
      <c r="F100" s="7" t="s">
        <v>399</v>
      </c>
      <c r="G100" s="7">
        <v>2</v>
      </c>
    </row>
    <row r="101" spans="1:7" ht="12" customHeight="1" x14ac:dyDescent="0.2">
      <c r="A101" s="4">
        <v>100</v>
      </c>
      <c r="B101" s="5" t="s">
        <v>400</v>
      </c>
      <c r="C101" s="6" t="s">
        <v>401</v>
      </c>
      <c r="D101" s="12" t="str">
        <f ca="1">IFERROR(__xludf.DUMMYFUNCTION("GOOGLETRANSLATE(C:C, ""en"",""tr"")"),"Butil benzil ftalat")</f>
        <v>Butil benzil ftalat</v>
      </c>
      <c r="E101" s="7" t="s">
        <v>402</v>
      </c>
      <c r="F101" s="7" t="s">
        <v>403</v>
      </c>
      <c r="G101" s="7">
        <v>2</v>
      </c>
    </row>
    <row r="102" spans="1:7" ht="12" customHeight="1" x14ac:dyDescent="0.2">
      <c r="A102" s="4">
        <v>101</v>
      </c>
      <c r="B102" s="5" t="s">
        <v>404</v>
      </c>
      <c r="C102" s="6" t="s">
        <v>405</v>
      </c>
      <c r="D102" s="12" t="str">
        <f ca="1">IFERROR(__xludf.DUMMYFUNCTION("GOOGLETRANSLATE(C:C, ""en"",""tr"")"),"Butil Butirat (Tüm İzomerler)")</f>
        <v>Butil Butirat (Tüm İzomerler)</v>
      </c>
      <c r="E102" s="7" t="s">
        <v>406</v>
      </c>
      <c r="F102" s="7" t="s">
        <v>407</v>
      </c>
      <c r="G102" s="7">
        <v>3</v>
      </c>
    </row>
    <row r="103" spans="1:7" ht="12" customHeight="1" x14ac:dyDescent="0.2">
      <c r="A103" s="4">
        <v>102</v>
      </c>
      <c r="B103" s="5" t="s">
        <v>408</v>
      </c>
      <c r="C103" s="6" t="s">
        <v>409</v>
      </c>
      <c r="D103" s="12" t="str">
        <f ca="1">IFERROR(__xludf.DUMMYFUNCTION("GOOGLETRANSLATE(C:C, ""en"",""tr"")"),"Bütil / Dekil / Cetil / Eicozil Metakrilat Karışımı")</f>
        <v>Bütil / Dekil / Cetil / Eicozil Metakrilat Karışımı</v>
      </c>
      <c r="E103" s="7" t="s">
        <v>410</v>
      </c>
      <c r="F103" s="7" t="s">
        <v>411</v>
      </c>
      <c r="G103" s="7">
        <v>2</v>
      </c>
    </row>
    <row r="104" spans="1:7" ht="12" customHeight="1" x14ac:dyDescent="0.2">
      <c r="A104" s="4">
        <v>103</v>
      </c>
      <c r="B104" s="5" t="s">
        <v>412</v>
      </c>
      <c r="C104" s="6" t="s">
        <v>413</v>
      </c>
      <c r="D104" s="12" t="str">
        <f ca="1">IFERROR(__xludf.DUMMYFUNCTION("GOOGLETRANSLATE(C:C, ""en"",""tr"")"),"Butilen glikol")</f>
        <v>Butilen glikol</v>
      </c>
      <c r="E104" s="7" t="s">
        <v>414</v>
      </c>
      <c r="F104" s="7" t="s">
        <v>415</v>
      </c>
      <c r="G104" s="7">
        <v>3</v>
      </c>
    </row>
    <row r="105" spans="1:7" ht="12" customHeight="1" x14ac:dyDescent="0.2">
      <c r="A105" s="4">
        <v>104</v>
      </c>
      <c r="B105" s="5" t="s">
        <v>416</v>
      </c>
      <c r="C105" s="6" t="s">
        <v>417</v>
      </c>
      <c r="D105" s="12" t="str">
        <f ca="1">IFERROR(__xludf.DUMMYFUNCTION("GOOGLETRANSLATE(C:C, ""en"",""tr"")"),"1,2-Butilen oksit")</f>
        <v>1,2-Butilen oksit</v>
      </c>
      <c r="E105" s="7" t="s">
        <v>418</v>
      </c>
      <c r="F105" s="7" t="s">
        <v>419</v>
      </c>
      <c r="G105" s="7">
        <v>3</v>
      </c>
    </row>
    <row r="106" spans="1:7" ht="12" customHeight="1" x14ac:dyDescent="0.2">
      <c r="A106" s="4">
        <v>105</v>
      </c>
      <c r="B106" s="5" t="s">
        <v>420</v>
      </c>
      <c r="C106" s="6" t="s">
        <v>421</v>
      </c>
      <c r="D106" s="12" t="str">
        <f ca="1">IFERROR(__xludf.DUMMYFUNCTION("GOOGLETRANSLATE(C:C, ""en"",""tr"")"),"N-butil eter")</f>
        <v>N-butil eter</v>
      </c>
      <c r="E106" s="7" t="s">
        <v>422</v>
      </c>
      <c r="F106" s="7" t="s">
        <v>423</v>
      </c>
      <c r="G106" s="7">
        <v>3</v>
      </c>
    </row>
    <row r="107" spans="1:7" ht="12" customHeight="1" x14ac:dyDescent="0.2">
      <c r="A107" s="4">
        <v>106</v>
      </c>
      <c r="B107" s="5" t="s">
        <v>424</v>
      </c>
      <c r="C107" s="6" t="s">
        <v>425</v>
      </c>
      <c r="D107" s="12" t="str">
        <f ca="1">IFERROR(__xludf.DUMMYFUNCTION("GOOGLETRANSLATE(C:C, ""en"",""tr"")"),"Bütil Metakrilat")</f>
        <v>Bütil Metakrilat</v>
      </c>
      <c r="E107" s="7" t="s">
        <v>426</v>
      </c>
      <c r="F107" s="7" t="s">
        <v>427</v>
      </c>
      <c r="G107" s="7">
        <v>3</v>
      </c>
    </row>
    <row r="108" spans="1:7" ht="12" customHeight="1" x14ac:dyDescent="0.2">
      <c r="A108" s="4">
        <v>107</v>
      </c>
      <c r="B108" s="5" t="s">
        <v>428</v>
      </c>
      <c r="C108" s="6" t="s">
        <v>429</v>
      </c>
      <c r="D108" s="12" t="str">
        <f ca="1">IFERROR(__xludf.DUMMYFUNCTION("GOOGLETRANSLATE(C:C, ""en"",""tr"")"),"Bütyraldehit (tüm izomerler)")</f>
        <v>Bütyraldehit (tüm izomerler)</v>
      </c>
      <c r="E108" s="7" t="s">
        <v>430</v>
      </c>
      <c r="F108" s="7" t="s">
        <v>431</v>
      </c>
      <c r="G108" s="7">
        <v>3</v>
      </c>
    </row>
    <row r="109" spans="1:7" ht="12" customHeight="1" x14ac:dyDescent="0.2">
      <c r="A109" s="4">
        <v>108</v>
      </c>
      <c r="B109" s="5" t="s">
        <v>432</v>
      </c>
      <c r="C109" s="6" t="s">
        <v>433</v>
      </c>
      <c r="D109" s="12" t="str">
        <f ca="1">IFERROR(__xludf.DUMMYFUNCTION("GOOGLETRANSLATE(C:C, ""en"",""tr"")"),"Bütirik Asit")</f>
        <v>Bütirik Asit</v>
      </c>
      <c r="E109" s="7" t="s">
        <v>434</v>
      </c>
      <c r="F109" s="7" t="s">
        <v>435</v>
      </c>
      <c r="G109" s="7">
        <v>3</v>
      </c>
    </row>
    <row r="110" spans="1:7" ht="12" customHeight="1" x14ac:dyDescent="0.2">
      <c r="A110" s="4">
        <v>109</v>
      </c>
      <c r="B110" s="5" t="s">
        <v>436</v>
      </c>
      <c r="C110" s="6" t="s">
        <v>437</v>
      </c>
      <c r="D110" s="12" t="str">
        <f ca="1">IFERROR(__xludf.DUMMYFUNCTION("GOOGLETRANSLATE(C:C, ""en"",""tr"")"),"Gamma-butirolakton")</f>
        <v>Gamma-butirolakton</v>
      </c>
      <c r="E110" s="7" t="s">
        <v>438</v>
      </c>
      <c r="F110" s="7" t="s">
        <v>439</v>
      </c>
      <c r="G110" s="7">
        <v>3</v>
      </c>
    </row>
    <row r="111" spans="1:7" ht="12" customHeight="1" x14ac:dyDescent="0.2">
      <c r="A111" s="4">
        <v>110</v>
      </c>
      <c r="B111" s="5" t="s">
        <v>440</v>
      </c>
      <c r="C111" s="6" t="s">
        <v>441</v>
      </c>
      <c r="D111" s="12" t="str">
        <f ca="1">IFERROR(__xludf.DUMMYFUNCTION("GOOGLETRANSLATE(C:C, ""en"",""tr"")"),"Kalsiyum Alkaril Sülfonat (C11-C50)")</f>
        <v>Kalsiyum Alkaril Sülfonat (C11-C50)</v>
      </c>
      <c r="E111" s="7" t="s">
        <v>442</v>
      </c>
      <c r="F111" s="7" t="s">
        <v>443</v>
      </c>
      <c r="G111" s="7">
        <v>3</v>
      </c>
    </row>
    <row r="112" spans="1:7" ht="12" customHeight="1" x14ac:dyDescent="0.2">
      <c r="A112" s="4">
        <v>111</v>
      </c>
      <c r="B112" s="5" t="s">
        <v>444</v>
      </c>
      <c r="C112" s="6" t="s">
        <v>445</v>
      </c>
      <c r="D112" s="12" t="str">
        <f ca="1">IFERROR(__xludf.DUMMYFUNCTION("GOOGLETRANSLATE(C:C, ""en"",""tr"")"),"Kalsiyum alkil (C10-C28) salisilat")</f>
        <v>Kalsiyum alkil (C10-C28) salisilat</v>
      </c>
      <c r="E112" s="7" t="s">
        <v>446</v>
      </c>
      <c r="F112" s="7" t="s">
        <v>447</v>
      </c>
      <c r="G112" s="7">
        <v>2</v>
      </c>
    </row>
    <row r="113" spans="1:7" ht="12" customHeight="1" x14ac:dyDescent="0.2">
      <c r="A113" s="4">
        <v>112</v>
      </c>
      <c r="B113" s="5" t="s">
        <v>448</v>
      </c>
      <c r="C113" s="6" t="s">
        <v>449</v>
      </c>
      <c r="D113" s="12" t="str">
        <f ca="1">IFERROR(__xludf.DUMMYFUNCTION("GOOGLETRANSLATE(C:C, ""en"",""tr"")"),"Kalsiyum hidroksit bulamaç")</f>
        <v>Kalsiyum hidroksit bulamaç</v>
      </c>
      <c r="E113" s="7" t="s">
        <v>450</v>
      </c>
      <c r="F113" s="7" t="s">
        <v>451</v>
      </c>
      <c r="G113" s="7">
        <v>2</v>
      </c>
    </row>
    <row r="114" spans="1:7" ht="12" customHeight="1" x14ac:dyDescent="0.2">
      <c r="A114" s="4">
        <v>113</v>
      </c>
      <c r="B114" s="5" t="s">
        <v>452</v>
      </c>
      <c r="C114" s="6" t="s">
        <v>453</v>
      </c>
      <c r="D114" s="12" t="str">
        <f ca="1">IFERROR(__xludf.DUMMYFUNCTION("GOOGLETRANSLATE(C:C, ""en"",""tr"")"),"Kalsiyum hipoklorit çözeltisi (%15 veya daha az)")</f>
        <v>Kalsiyum hipoklorit çözeltisi (%15 veya daha az)</v>
      </c>
      <c r="E114" s="7" t="s">
        <v>454</v>
      </c>
      <c r="F114" s="7" t="s">
        <v>455</v>
      </c>
      <c r="G114" s="7">
        <v>2</v>
      </c>
    </row>
    <row r="115" spans="1:7" ht="12" customHeight="1" x14ac:dyDescent="0.2">
      <c r="A115" s="4">
        <v>114</v>
      </c>
      <c r="B115" s="5" t="s">
        <v>456</v>
      </c>
      <c r="C115" s="6" t="s">
        <v>457</v>
      </c>
      <c r="D115" s="12" t="str">
        <f ca="1">IFERROR(__xludf.DUMMYFUNCTION("GOOGLETRANSLATE(C:C, ""en"",""tr"")"),"Kalsiyum hipoklorit çözeltisi (%15'ten fazla)")</f>
        <v>Kalsiyum hipoklorit çözeltisi (%15'ten fazla)</v>
      </c>
      <c r="E115" s="7" t="s">
        <v>458</v>
      </c>
      <c r="F115" s="7" t="s">
        <v>459</v>
      </c>
      <c r="G115" s="7">
        <v>1</v>
      </c>
    </row>
    <row r="116" spans="1:7" ht="12" customHeight="1" x14ac:dyDescent="0.2">
      <c r="A116" s="4">
        <v>115</v>
      </c>
      <c r="B116" s="5" t="s">
        <v>460</v>
      </c>
      <c r="C116" s="6" t="s">
        <v>461</v>
      </c>
      <c r="D116" s="12" t="str">
        <f ca="1">IFERROR(__xludf.DUMMYFUNCTION("GOOGLETRANSLATE(C:C, ""en"",""tr"")"),"Kalsiyum Uzun Zincir Alkil (C11-C40) Fenat")</f>
        <v>Kalsiyum Uzun Zincir Alkil (C11-C40) Fenat</v>
      </c>
      <c r="E116" s="7" t="s">
        <v>462</v>
      </c>
      <c r="F116" s="7" t="s">
        <v>463</v>
      </c>
      <c r="G116" s="7">
        <v>2</v>
      </c>
    </row>
    <row r="117" spans="1:7" ht="12" customHeight="1" x14ac:dyDescent="0.2">
      <c r="A117" s="4">
        <v>116</v>
      </c>
      <c r="B117" s="5" t="s">
        <v>464</v>
      </c>
      <c r="C117" s="6" t="s">
        <v>465</v>
      </c>
      <c r="D117" s="12" t="str">
        <f ca="1">IFERROR(__xludf.DUMMYFUNCTION("GOOGLETRANSLATE(C:C, ""en"",""tr"")"),"Kalsiyum Uzun Zincir Alkil Fenat Sülfür (C8-C40)")</f>
        <v>Kalsiyum Uzun Zincir Alkil Fenat Sülfür (C8-C40)</v>
      </c>
      <c r="E117" s="7" t="s">
        <v>466</v>
      </c>
      <c r="F117" s="7" t="s">
        <v>467</v>
      </c>
      <c r="G117" s="7">
        <v>2</v>
      </c>
    </row>
    <row r="118" spans="1:7" ht="12" customHeight="1" x14ac:dyDescent="0.2">
      <c r="A118" s="4">
        <v>117</v>
      </c>
      <c r="B118" s="5" t="s">
        <v>468</v>
      </c>
      <c r="C118" s="6" t="s">
        <v>469</v>
      </c>
      <c r="D118" s="12" t="str">
        <f ca="1">IFERROR(__xludf.DUMMYFUNCTION("GOOGLETRANSLATE(C:C, ""en"",""tr"")"),"Kalsiyum Uzun Zincir Alkil Salisilat (C13+)")</f>
        <v>Kalsiyum Uzun Zincir Alkil Salisilat (C13+)</v>
      </c>
      <c r="E118" s="7" t="s">
        <v>470</v>
      </c>
      <c r="F118" s="7" t="s">
        <v>471</v>
      </c>
      <c r="G118" s="7">
        <v>2</v>
      </c>
    </row>
    <row r="119" spans="1:7" ht="12" customHeight="1" x14ac:dyDescent="0.2">
      <c r="A119" s="4">
        <v>118</v>
      </c>
      <c r="B119" s="5" t="s">
        <v>472</v>
      </c>
      <c r="C119" s="6" t="s">
        <v>473</v>
      </c>
      <c r="D119" s="12" t="str">
        <f ca="1">IFERROR(__xludf.DUMMYFUNCTION("GOOGLETRANSLATE(C:C, ""en"",""tr"")"),"Kalsiyum Uzun Zincir Alkil (C18-C28) Salisilat")</f>
        <v>Kalsiyum Uzun Zincir Alkil (C18-C28) Salisilat</v>
      </c>
      <c r="E119" s="7" t="s">
        <v>474</v>
      </c>
      <c r="F119" s="7" t="s">
        <v>475</v>
      </c>
      <c r="G119" s="7">
        <v>2</v>
      </c>
    </row>
    <row r="120" spans="1:7" ht="12" customHeight="1" x14ac:dyDescent="0.2">
      <c r="A120" s="4">
        <v>119</v>
      </c>
      <c r="B120" s="5" t="s">
        <v>476</v>
      </c>
      <c r="C120" s="6" t="s">
        <v>477</v>
      </c>
      <c r="D120" s="12" t="str">
        <f ca="1">IFERROR(__xludf.DUMMYFUNCTION("GOOGLETRANSLATE(C:C, ""en"",""tr"")"),"Kalsiyum Nitrat / Magnezyum Nitrat / Potasyum Klorür Çözeltisi")</f>
        <v>Kalsiyum Nitrat / Magnezyum Nitrat / Potasyum Klorür Çözeltisi</v>
      </c>
      <c r="E120" s="7" t="s">
        <v>478</v>
      </c>
      <c r="F120" s="7" t="s">
        <v>479</v>
      </c>
      <c r="G120" s="7">
        <v>3</v>
      </c>
    </row>
    <row r="121" spans="1:7" ht="12" customHeight="1" x14ac:dyDescent="0.2">
      <c r="A121" s="4">
        <v>120</v>
      </c>
      <c r="B121" s="5" t="s">
        <v>480</v>
      </c>
      <c r="C121" s="6" t="s">
        <v>481</v>
      </c>
      <c r="D121" s="12" t="str">
        <f ca="1">IFERROR(__xludf.DUMMYFUNCTION("GOOGLETRANSLATE(C:C, ""en"",""tr"")"),"Kalsiyum nitrat çözeltileri (%50 veya daha az)")</f>
        <v>Kalsiyum nitrat çözeltileri (%50 veya daha az)</v>
      </c>
      <c r="E121" s="7" t="s">
        <v>482</v>
      </c>
      <c r="F121" s="7" t="s">
        <v>483</v>
      </c>
      <c r="G121" s="7">
        <v>3</v>
      </c>
    </row>
    <row r="122" spans="1:7" ht="12" customHeight="1" x14ac:dyDescent="0.2">
      <c r="A122" s="4">
        <v>121</v>
      </c>
      <c r="B122" s="5" t="s">
        <v>484</v>
      </c>
      <c r="C122" s="6" t="s">
        <v>485</v>
      </c>
      <c r="D122" s="12" t="str">
        <f ca="1">IFERROR(__xludf.DUMMYFUNCTION("GOOGLETRANSLATE(C:C, ""en"",""tr"")"),"Kamelina yağı")</f>
        <v>Kamelina yağı</v>
      </c>
      <c r="E122" s="7" t="s">
        <v>486</v>
      </c>
      <c r="F122" s="7" t="s">
        <v>487</v>
      </c>
      <c r="G122" s="7" t="s">
        <v>488</v>
      </c>
    </row>
    <row r="123" spans="1:7" ht="12" customHeight="1" x14ac:dyDescent="0.2">
      <c r="A123" s="4">
        <v>122</v>
      </c>
      <c r="B123" s="5" t="s">
        <v>489</v>
      </c>
      <c r="C123" s="6" t="s">
        <v>490</v>
      </c>
      <c r="D123" s="12" t="str">
        <f ca="1">IFERROR(__xludf.DUMMYFUNCTION("GOOGLETRANSLATE(C:C, ""en"",""tr"")"),"Epsilon-kaprolaktam (erimiş veya sulu çözeltiler)")</f>
        <v>Epsilon-kaprolaktam (erimiş veya sulu çözeltiler)</v>
      </c>
      <c r="E123" s="7" t="s">
        <v>491</v>
      </c>
      <c r="F123" s="7" t="s">
        <v>492</v>
      </c>
      <c r="G123" s="7">
        <v>3</v>
      </c>
    </row>
    <row r="124" spans="1:7" ht="12" customHeight="1" x14ac:dyDescent="0.2">
      <c r="A124" s="4">
        <v>123</v>
      </c>
      <c r="B124" s="5" t="s">
        <v>493</v>
      </c>
      <c r="C124" s="6" t="s">
        <v>494</v>
      </c>
      <c r="D124" s="12" t="str">
        <f ca="1">IFERROR(__xludf.DUMMYFUNCTION("GOOGLETRANSLATE(C:C, ""en"",""tr"")"),"Karbolik yağ")</f>
        <v>Karbolik yağ</v>
      </c>
      <c r="E124" s="7" t="s">
        <v>495</v>
      </c>
      <c r="F124" s="7" t="s">
        <v>496</v>
      </c>
      <c r="G124" s="7">
        <v>2</v>
      </c>
    </row>
    <row r="125" spans="1:7" ht="12" customHeight="1" x14ac:dyDescent="0.2">
      <c r="A125" s="4">
        <v>124</v>
      </c>
      <c r="B125" s="5" t="s">
        <v>497</v>
      </c>
      <c r="C125" s="6" t="s">
        <v>498</v>
      </c>
      <c r="D125" s="12" t="str">
        <f ca="1">IFERROR(__xludf.DUMMYFUNCTION("GOOGLETRANSLATE(C:C, ""en"",""tr"")"),"Karbon disülfit")</f>
        <v>Karbon disülfit</v>
      </c>
      <c r="E125" s="7" t="s">
        <v>499</v>
      </c>
      <c r="F125" s="7" t="s">
        <v>500</v>
      </c>
      <c r="G125" s="7">
        <v>1</v>
      </c>
    </row>
    <row r="126" spans="1:7" ht="12" customHeight="1" x14ac:dyDescent="0.2">
      <c r="A126" s="4">
        <v>125</v>
      </c>
      <c r="B126" s="5" t="s">
        <v>501</v>
      </c>
      <c r="C126" s="6" t="s">
        <v>502</v>
      </c>
      <c r="D126" s="12" t="str">
        <f ca="1">IFERROR(__xludf.DUMMYFUNCTION("GOOGLETRANSLATE(C:C, ""en"",""tr"")"),"Karbon Tetraklorür")</f>
        <v>Karbon Tetraklorür</v>
      </c>
      <c r="E126" s="7" t="s">
        <v>503</v>
      </c>
      <c r="F126" s="7" t="s">
        <v>504</v>
      </c>
      <c r="G126" s="7">
        <v>2</v>
      </c>
    </row>
    <row r="127" spans="1:7" ht="12" customHeight="1" x14ac:dyDescent="0.2">
      <c r="A127" s="4">
        <v>126</v>
      </c>
      <c r="B127" s="5" t="s">
        <v>505</v>
      </c>
      <c r="C127" s="6" t="s">
        <v>506</v>
      </c>
      <c r="D127" s="12" t="str">
        <f ca="1">IFERROR(__xludf.DUMMYFUNCTION("GOOGLETRANSLATE(C:C, ""en"",""tr"")"),"Kaju fıstığı kabuğu yağı (işlenmemiş)")</f>
        <v>Kaju fıstığı kabuğu yağı (işlenmemiş)</v>
      </c>
      <c r="E127" s="7" t="s">
        <v>507</v>
      </c>
      <c r="F127" s="7" t="s">
        <v>508</v>
      </c>
      <c r="G127" s="7">
        <v>2</v>
      </c>
    </row>
    <row r="128" spans="1:7" ht="12" customHeight="1" x14ac:dyDescent="0.2">
      <c r="A128" s="4">
        <v>127</v>
      </c>
      <c r="B128" s="5" t="s">
        <v>509</v>
      </c>
      <c r="C128" s="6" t="s">
        <v>510</v>
      </c>
      <c r="D128" s="12" t="str">
        <f ca="1">IFERROR(__xludf.DUMMYFUNCTION("GOOGLETRANSLATE(C:C, ""en"",""tr"")"),"Hint yağı")</f>
        <v>Hint yağı</v>
      </c>
      <c r="E128" s="7" t="s">
        <v>511</v>
      </c>
      <c r="F128" s="7" t="s">
        <v>512</v>
      </c>
      <c r="G128" s="7" t="s">
        <v>513</v>
      </c>
    </row>
    <row r="129" spans="1:7" ht="12" customHeight="1" x14ac:dyDescent="0.2">
      <c r="A129" s="4">
        <v>128</v>
      </c>
      <c r="B129" s="5" t="s">
        <v>514</v>
      </c>
      <c r="C129" s="6" t="s">
        <v>515</v>
      </c>
      <c r="D129" s="12" t="str">
        <f ca="1">IFERROR(__xludf.DUMMYFUNCTION("GOOGLETRANSLATE(C:C, ""en"",""tr"")"),"Cesium Format Çözeltisi (*)")</f>
        <v>Cesium Format Çözeltisi (*)</v>
      </c>
      <c r="E129" s="7" t="s">
        <v>516</v>
      </c>
      <c r="F129" s="7" t="s">
        <v>517</v>
      </c>
      <c r="G129" s="7">
        <v>3</v>
      </c>
    </row>
    <row r="130" spans="1:7" ht="12" customHeight="1" x14ac:dyDescent="0.2">
      <c r="A130" s="4">
        <v>129</v>
      </c>
      <c r="B130" s="5" t="s">
        <v>518</v>
      </c>
      <c r="C130" s="6" t="s">
        <v>519</v>
      </c>
      <c r="D130" s="12" t="str">
        <f ca="1">IFERROR(__xludf.DUMMYFUNCTION("GOOGLETRANSLATE(C:C, ""en"",""tr"")"),"Cetil / Eicosil Metakrilat Karışımı")</f>
        <v>Cetil / Eicosil Metakrilat Karışımı</v>
      </c>
      <c r="E130" s="7" t="s">
        <v>520</v>
      </c>
      <c r="F130" s="7" t="s">
        <v>521</v>
      </c>
      <c r="G130" s="7">
        <v>2</v>
      </c>
    </row>
    <row r="131" spans="1:7" ht="12" customHeight="1" x14ac:dyDescent="0.2">
      <c r="A131" s="4">
        <v>130</v>
      </c>
      <c r="B131" s="5" t="s">
        <v>522</v>
      </c>
      <c r="C131" s="6" t="s">
        <v>522</v>
      </c>
      <c r="D131" s="12" t="str">
        <f ca="1">IFERROR(__xludf.DUMMYFUNCTION("GOOGLETRANSLATE(C:C, ""en"",""tr"")"),"Klorlu parafinler (C10-C13)")</f>
        <v>Klorlu parafinler (C10-C13)</v>
      </c>
      <c r="E131" s="7" t="s">
        <v>523</v>
      </c>
      <c r="F131" s="7" t="s">
        <v>524</v>
      </c>
      <c r="G131" s="7">
        <v>1</v>
      </c>
    </row>
    <row r="132" spans="1:7" ht="12" customHeight="1" x14ac:dyDescent="0.2">
      <c r="A132" s="4">
        <v>131</v>
      </c>
      <c r="B132" s="5" t="s">
        <v>525</v>
      </c>
      <c r="C132" s="6" t="s">
        <v>526</v>
      </c>
      <c r="D132" s="12" t="str">
        <f ca="1">IFERROR(__xludf.DUMMYFUNCTION("GOOGLETRANSLATE(C:C, ""en"",""tr"")"),"Klorlu parafinler (C14-C17) (%50 klor veya daha fazla ve % 1 C13 veya daha kısa zincirlerden az)")</f>
        <v>Klorlu parafinler (C14-C17) (%50 klor veya daha fazla ve % 1 C13 veya daha kısa zincirlerden az)</v>
      </c>
      <c r="E132" s="7" t="s">
        <v>527</v>
      </c>
      <c r="F132" s="7" t="s">
        <v>528</v>
      </c>
      <c r="G132" s="7">
        <v>1</v>
      </c>
    </row>
    <row r="133" spans="1:7" ht="12" customHeight="1" x14ac:dyDescent="0.2">
      <c r="A133" s="4">
        <v>132</v>
      </c>
      <c r="B133" s="5" t="s">
        <v>529</v>
      </c>
      <c r="C133" s="6" t="s">
        <v>530</v>
      </c>
      <c r="D133" s="12" t="str">
        <f ca="1">IFERROR(__xludf.DUMMYFUNCTION("GOOGLETRANSLATE(C:C, ""en"",""tr"")"),"Kloroasetik asit (% 80 veya daha az)")</f>
        <v>Kloroasetik asit (% 80 veya daha az)</v>
      </c>
      <c r="E133" s="7" t="s">
        <v>531</v>
      </c>
      <c r="F133" s="7" t="s">
        <v>532</v>
      </c>
      <c r="G133" s="7">
        <v>2</v>
      </c>
    </row>
    <row r="134" spans="1:7" ht="12" customHeight="1" x14ac:dyDescent="0.2">
      <c r="A134" s="4">
        <v>133</v>
      </c>
      <c r="B134" s="5" t="s">
        <v>533</v>
      </c>
      <c r="C134" s="6" t="s">
        <v>534</v>
      </c>
      <c r="D134" s="12" t="str">
        <f ca="1">IFERROR(__xludf.DUMMYFUNCTION("GOOGLETRANSLATE(C:C, ""en"",""tr"")"),"Klorobenzen")</f>
        <v>Klorobenzen</v>
      </c>
      <c r="E134" s="7" t="s">
        <v>535</v>
      </c>
      <c r="F134" s="7" t="s">
        <v>536</v>
      </c>
      <c r="G134" s="7">
        <v>2</v>
      </c>
    </row>
    <row r="135" spans="1:7" ht="12" customHeight="1" x14ac:dyDescent="0.2">
      <c r="A135" s="4">
        <v>134</v>
      </c>
      <c r="B135" s="5" t="s">
        <v>537</v>
      </c>
      <c r="C135" s="6" t="s">
        <v>538</v>
      </c>
      <c r="D135" s="12" t="str">
        <f ca="1">IFERROR(__xludf.DUMMYFUNCTION("GOOGLETRANSLATE(C:C, ""en"",""tr"")"),"Kloroform")</f>
        <v>Kloroform</v>
      </c>
      <c r="E135" s="7" t="s">
        <v>539</v>
      </c>
      <c r="F135" s="7" t="s">
        <v>540</v>
      </c>
      <c r="G135" s="7">
        <v>3</v>
      </c>
    </row>
    <row r="136" spans="1:7" ht="12" customHeight="1" x14ac:dyDescent="0.2">
      <c r="A136" s="4">
        <v>135</v>
      </c>
      <c r="B136" s="5" t="s">
        <v>541</v>
      </c>
      <c r="C136" s="6" t="s">
        <v>542</v>
      </c>
      <c r="D136" s="12" t="str">
        <f ca="1">IFERROR(__xludf.DUMMYFUNCTION("GOOGLETRANSLATE(C:C, ""en"",""tr"")"),"Klorohidriler (ham)")</f>
        <v>Klorohidriler (ham)</v>
      </c>
      <c r="E136" s="7" t="s">
        <v>543</v>
      </c>
      <c r="F136" s="7" t="s">
        <v>544</v>
      </c>
      <c r="G136" s="7">
        <v>2</v>
      </c>
    </row>
    <row r="137" spans="1:7" ht="12" customHeight="1" x14ac:dyDescent="0.2">
      <c r="A137" s="4">
        <v>136</v>
      </c>
      <c r="B137" s="5" t="s">
        <v>545</v>
      </c>
      <c r="C137" s="6" t="s">
        <v>546</v>
      </c>
      <c r="D137" s="12" t="str">
        <f ca="1">IFERROR(__xludf.DUMMYFUNCTION("GOOGLETRANSLATE(C:C, ""en"",""tr"")"),"4-kloro-2-metilfenoksiasetik asit, dimetilamin tuz çözeltisi")</f>
        <v>4-kloro-2-metilfenoksiasetik asit, dimetilamin tuz çözeltisi</v>
      </c>
      <c r="E137" s="7" t="s">
        <v>547</v>
      </c>
      <c r="F137" s="7" t="s">
        <v>548</v>
      </c>
      <c r="G137" s="7">
        <v>2</v>
      </c>
    </row>
    <row r="138" spans="1:7" ht="12" customHeight="1" x14ac:dyDescent="0.2">
      <c r="A138" s="4">
        <v>137</v>
      </c>
      <c r="B138" s="5" t="s">
        <v>549</v>
      </c>
      <c r="C138" s="6" t="s">
        <v>550</v>
      </c>
      <c r="D138" s="12" t="str">
        <f ca="1">IFERROR(__xludf.DUMMYFUNCTION("GOOGLETRANSLATE(C:C, ""en"",""tr"")"),"O-kloronitrobenzen")</f>
        <v>O-kloronitrobenzen</v>
      </c>
      <c r="E138" s="7" t="s">
        <v>551</v>
      </c>
      <c r="F138" s="7" t="s">
        <v>552</v>
      </c>
      <c r="G138" s="7">
        <v>2</v>
      </c>
    </row>
    <row r="139" spans="1:7" ht="12" customHeight="1" x14ac:dyDescent="0.2">
      <c r="A139" s="4">
        <v>138</v>
      </c>
      <c r="B139" s="5" t="s">
        <v>553</v>
      </c>
      <c r="C139" s="6" t="s">
        <v>554</v>
      </c>
      <c r="D139" s="12" t="str">
        <f ca="1">IFERROR(__xludf.DUMMYFUNCTION("GOOGLETRANSLATE(C:C, ""en"",""tr"")"),"1- (4-Klorofenil) -4,4- Dimetil-Pentan-3-1")</f>
        <v>1- (4-Klorofenil) -4,4- Dimetil-Pentan-3-1</v>
      </c>
      <c r="E139" s="7" t="s">
        <v>555</v>
      </c>
      <c r="F139" s="7" t="s">
        <v>556</v>
      </c>
      <c r="G139" s="7">
        <v>2</v>
      </c>
    </row>
    <row r="140" spans="1:7" ht="12" customHeight="1" x14ac:dyDescent="0.2">
      <c r="A140" s="4">
        <v>139</v>
      </c>
      <c r="B140" s="5" t="s">
        <v>557</v>
      </c>
      <c r="C140" s="6" t="s">
        <v>558</v>
      </c>
      <c r="D140" s="12" t="str">
        <f ca="1">IFERROR(__xludf.DUMMYFUNCTION("GOOGLETRANSLATE(C:C, ""en"",""tr"")"),"2- veya 3-kloropropiyonik asit")</f>
        <v>2- veya 3-kloropropiyonik asit</v>
      </c>
      <c r="E140" s="7" t="s">
        <v>559</v>
      </c>
      <c r="F140" s="7" t="s">
        <v>560</v>
      </c>
      <c r="G140" s="7">
        <v>2</v>
      </c>
    </row>
    <row r="141" spans="1:7" ht="12" customHeight="1" x14ac:dyDescent="0.2">
      <c r="A141" s="4">
        <v>140</v>
      </c>
      <c r="B141" s="5" t="s">
        <v>561</v>
      </c>
      <c r="C141" s="6" t="s">
        <v>562</v>
      </c>
      <c r="D141" s="12" t="str">
        <f ca="1">IFERROR(__xludf.DUMMYFUNCTION("GOOGLETRANSLATE(C:C, ""en"",""tr"")"),"Klorosülfonik asit")</f>
        <v>Klorosülfonik asit</v>
      </c>
      <c r="E141" s="7" t="s">
        <v>563</v>
      </c>
      <c r="F141" s="7" t="s">
        <v>564</v>
      </c>
      <c r="G141" s="7">
        <v>1</v>
      </c>
    </row>
    <row r="142" spans="1:7" ht="12" customHeight="1" x14ac:dyDescent="0.2">
      <c r="A142" s="4">
        <v>141</v>
      </c>
      <c r="B142" s="5" t="s">
        <v>565</v>
      </c>
      <c r="C142" s="6" t="s">
        <v>566</v>
      </c>
      <c r="D142" s="12" t="str">
        <f ca="1">IFERROR(__xludf.DUMMYFUNCTION("GOOGLETRANSLATE(C:C, ""en"",""tr"")"),"M-Klorotoluen")</f>
        <v>M-Klorotoluen</v>
      </c>
      <c r="E142" s="7" t="s">
        <v>567</v>
      </c>
      <c r="F142" s="7" t="s">
        <v>568</v>
      </c>
      <c r="G142" s="7">
        <v>2</v>
      </c>
    </row>
    <row r="143" spans="1:7" ht="12" customHeight="1" x14ac:dyDescent="0.2">
      <c r="A143" s="4">
        <v>142</v>
      </c>
      <c r="B143" s="5" t="s">
        <v>569</v>
      </c>
      <c r="C143" s="6" t="s">
        <v>570</v>
      </c>
      <c r="D143" s="12" t="str">
        <f ca="1">IFERROR(__xludf.DUMMYFUNCTION("GOOGLETRANSLATE(C:C, ""en"",""tr"")"),"Sitrik asit (%70 veya daha az)")</f>
        <v>Sitrik asit (%70 veya daha az)</v>
      </c>
      <c r="E143" s="7" t="s">
        <v>571</v>
      </c>
      <c r="F143" s="7" t="s">
        <v>572</v>
      </c>
      <c r="G143" s="7">
        <v>3</v>
      </c>
    </row>
    <row r="144" spans="1:7" ht="12" customHeight="1" x14ac:dyDescent="0.2">
      <c r="A144" s="4">
        <v>143</v>
      </c>
      <c r="B144" s="5" t="s">
        <v>573</v>
      </c>
      <c r="C144" s="6" t="s">
        <v>574</v>
      </c>
      <c r="D144" s="12" t="str">
        <f ca="1">IFERROR(__xludf.DUMMYFUNCTION("GOOGLETRANSLATE(C:C, ""en"",""tr"")"),"Kömür katranı")</f>
        <v>Kömür katranı</v>
      </c>
      <c r="E144" s="7" t="s">
        <v>575</v>
      </c>
      <c r="F144" s="7" t="s">
        <v>576</v>
      </c>
      <c r="G144" s="7">
        <v>2</v>
      </c>
    </row>
    <row r="145" spans="1:7" ht="12" customHeight="1" x14ac:dyDescent="0.2">
      <c r="A145" s="4">
        <v>144</v>
      </c>
      <c r="B145" s="5" t="s">
        <v>577</v>
      </c>
      <c r="C145" s="6" t="s">
        <v>578</v>
      </c>
      <c r="D145" s="12" t="str">
        <f ca="1">IFERROR(__xludf.DUMMYFUNCTION("GOOGLETRANSLATE(C:C, ""en"",""tr"")"),"Kömür katranı nafta çözücü")</f>
        <v>Kömür katranı nafta çözücü</v>
      </c>
      <c r="E145" s="7" t="s">
        <v>579</v>
      </c>
      <c r="F145" s="7" t="s">
        <v>580</v>
      </c>
      <c r="G145" s="7">
        <v>2</v>
      </c>
    </row>
    <row r="146" spans="1:7" ht="12" customHeight="1" x14ac:dyDescent="0.2">
      <c r="A146" s="4">
        <v>145</v>
      </c>
      <c r="B146" s="5" t="s">
        <v>581</v>
      </c>
      <c r="C146" s="6" t="s">
        <v>582</v>
      </c>
      <c r="D146" s="12" t="str">
        <f ca="1">IFERROR(__xludf.DUMMYFUNCTION("GOOGLETRANSLATE(C:C, ""en"",""tr"")"),"Kömür katranı (erimiş) (*)")</f>
        <v>Kömür katranı (erimiş) (*)</v>
      </c>
      <c r="E146" s="7" t="s">
        <v>583</v>
      </c>
      <c r="F146" s="7" t="s">
        <v>584</v>
      </c>
      <c r="G146" s="7">
        <v>2</v>
      </c>
    </row>
    <row r="147" spans="1:7" ht="12" customHeight="1" x14ac:dyDescent="0.2">
      <c r="A147" s="4">
        <v>146</v>
      </c>
      <c r="B147" s="5" t="s">
        <v>585</v>
      </c>
      <c r="C147" s="6" t="s">
        <v>586</v>
      </c>
      <c r="D147" s="12" t="str">
        <f ca="1">IFERROR(__xludf.DUMMYFUNCTION("GOOGLETRANSLATE(C:C, ""en"",""tr"")"),"Kakao Yağı")</f>
        <v>Kakao Yağı</v>
      </c>
      <c r="E147" s="7" t="s">
        <v>587</v>
      </c>
      <c r="F147" s="7" t="s">
        <v>588</v>
      </c>
      <c r="G147" s="7" t="s">
        <v>589</v>
      </c>
    </row>
    <row r="148" spans="1:7" ht="12" customHeight="1" x14ac:dyDescent="0.2">
      <c r="A148" s="4">
        <v>147</v>
      </c>
      <c r="B148" s="5" t="s">
        <v>590</v>
      </c>
      <c r="C148" s="6" t="s">
        <v>591</v>
      </c>
      <c r="D148" s="12" t="str">
        <f ca="1">IFERROR(__xludf.DUMMYFUNCTION("GOOGLETRANSLATE(C:C, ""en"",""tr"")"),"Hindistancevizi Yağı")</f>
        <v>Hindistancevizi Yağı</v>
      </c>
      <c r="E148" s="7" t="s">
        <v>592</v>
      </c>
      <c r="F148" s="7" t="s">
        <v>593</v>
      </c>
      <c r="G148" s="7" t="s">
        <v>594</v>
      </c>
    </row>
    <row r="149" spans="1:7" ht="12" customHeight="1" x14ac:dyDescent="0.2">
      <c r="A149" s="4">
        <v>148</v>
      </c>
      <c r="B149" s="5" t="s">
        <v>595</v>
      </c>
      <c r="C149" s="6" t="s">
        <v>596</v>
      </c>
      <c r="D149" s="12" t="str">
        <f ca="1">IFERROR(__xludf.DUMMYFUNCTION("GOOGLETRANSLATE(C:C, ""en"",""tr"")"),"Hindistancevizi Yağı Asidi")</f>
        <v>Hindistancevizi Yağı Asidi</v>
      </c>
      <c r="E149" s="7" t="s">
        <v>597</v>
      </c>
      <c r="F149" s="7" t="s">
        <v>598</v>
      </c>
      <c r="G149" s="7">
        <v>2</v>
      </c>
    </row>
    <row r="150" spans="1:7" ht="12" customHeight="1" x14ac:dyDescent="0.2">
      <c r="A150" s="4">
        <v>149</v>
      </c>
      <c r="B150" s="5" t="s">
        <v>599</v>
      </c>
      <c r="C150" s="6" t="s">
        <v>600</v>
      </c>
      <c r="D150" s="12" t="str">
        <f ca="1">IFERROR(__xludf.DUMMYFUNCTION("GOOGLETRANSLATE(C:C, ""en"",""tr"")"),"Mısır Yağı")</f>
        <v>Mısır Yağı</v>
      </c>
      <c r="E150" s="7" t="s">
        <v>601</v>
      </c>
      <c r="F150" s="7" t="s">
        <v>602</v>
      </c>
      <c r="G150" s="7" t="s">
        <v>603</v>
      </c>
    </row>
    <row r="151" spans="1:7" ht="12" customHeight="1" x14ac:dyDescent="0.2">
      <c r="A151" s="4">
        <v>150</v>
      </c>
      <c r="B151" s="5" t="s">
        <v>604</v>
      </c>
      <c r="C151" s="6" t="s">
        <v>605</v>
      </c>
      <c r="D151" s="12" t="str">
        <f ca="1">IFERROR(__xludf.DUMMYFUNCTION("GOOGLETRANSLATE(C:C, ""en"",""tr"")"),"Pamuk Yağı")</f>
        <v>Pamuk Yağı</v>
      </c>
      <c r="E151" s="7" t="s">
        <v>606</v>
      </c>
      <c r="F151" s="7" t="s">
        <v>607</v>
      </c>
      <c r="G151" s="7" t="s">
        <v>608</v>
      </c>
    </row>
    <row r="152" spans="1:7" ht="12" customHeight="1" x14ac:dyDescent="0.2">
      <c r="A152" s="4">
        <v>151</v>
      </c>
      <c r="B152" s="5" t="s">
        <v>609</v>
      </c>
      <c r="C152" s="6" t="s">
        <v>610</v>
      </c>
      <c r="D152" s="12" t="str">
        <f ca="1">IFERROR(__xludf.DUMMYFUNCTION("GOOGLETRANSLATE(C:C, ""en"",""tr"")"),"Creosote (kömür katranı)")</f>
        <v>Creosote (kömür katranı)</v>
      </c>
      <c r="E152" s="7" t="s">
        <v>611</v>
      </c>
      <c r="F152" s="7" t="s">
        <v>612</v>
      </c>
      <c r="G152" s="7">
        <v>1</v>
      </c>
    </row>
    <row r="153" spans="1:7" ht="12" customHeight="1" x14ac:dyDescent="0.2">
      <c r="A153" s="4">
        <v>152</v>
      </c>
      <c r="B153" s="5" t="s">
        <v>613</v>
      </c>
      <c r="C153" s="6" t="s">
        <v>614</v>
      </c>
      <c r="D153" s="12" t="str">
        <f ca="1">IFERROR(__xludf.DUMMYFUNCTION("GOOGLETRANSLATE(C:C, ""en"",""tr"")"),"Cresol / Fenol / Xylenol Karışımı")</f>
        <v>Cresol / Fenol / Xylenol Karışımı</v>
      </c>
      <c r="E153" s="7" t="s">
        <v>615</v>
      </c>
      <c r="F153" s="7" t="s">
        <v>616</v>
      </c>
      <c r="G153" s="7">
        <v>2</v>
      </c>
    </row>
    <row r="154" spans="1:7" ht="12" customHeight="1" x14ac:dyDescent="0.2">
      <c r="A154" s="4">
        <v>153</v>
      </c>
      <c r="B154" s="5" t="s">
        <v>617</v>
      </c>
      <c r="C154" s="6" t="s">
        <v>618</v>
      </c>
      <c r="D154" s="12" t="str">
        <f ca="1">IFERROR(__xludf.DUMMYFUNCTION("GOOGLETRANSLATE(C:C, ""en"",""tr"")"),"Kresoller (tüm izomerler)")</f>
        <v>Kresoller (tüm izomerler)</v>
      </c>
      <c r="E154" s="7" t="s">
        <v>619</v>
      </c>
      <c r="F154" s="7" t="s">
        <v>620</v>
      </c>
      <c r="G154" s="7">
        <v>1</v>
      </c>
    </row>
    <row r="155" spans="1:7" ht="12" customHeight="1" x14ac:dyDescent="0.2">
      <c r="A155" s="4">
        <v>154</v>
      </c>
      <c r="B155" s="5" t="s">
        <v>621</v>
      </c>
      <c r="C155" s="6" t="s">
        <v>622</v>
      </c>
      <c r="D155" s="12" t="str">
        <f ca="1">IFERROR(__xludf.DUMMYFUNCTION("GOOGLETRANSLATE(C:C, ""en"",""tr"")"),"Kresilik asit, dephenolize")</f>
        <v>Kresilik asit, dephenolize</v>
      </c>
      <c r="E155" s="7" t="s">
        <v>623</v>
      </c>
      <c r="F155" s="7" t="s">
        <v>624</v>
      </c>
      <c r="G155" s="7">
        <v>2</v>
      </c>
    </row>
    <row r="156" spans="1:7" ht="12" customHeight="1" x14ac:dyDescent="0.2">
      <c r="A156" s="4">
        <v>155</v>
      </c>
      <c r="B156" s="5" t="s">
        <v>625</v>
      </c>
      <c r="C156" s="6" t="s">
        <v>626</v>
      </c>
      <c r="D156" s="12" t="str">
        <f ca="1">IFERROR(__xludf.DUMMYFUNCTION("GOOGLETRANSLATE(C:C, ""en"",""tr"")"),"Kresilik asit, sodyum tuz çözeltisi")</f>
        <v>Kresilik asit, sodyum tuz çözeltisi</v>
      </c>
      <c r="E156" s="7" t="s">
        <v>627</v>
      </c>
      <c r="F156" s="7" t="s">
        <v>628</v>
      </c>
      <c r="G156" s="7">
        <v>2</v>
      </c>
    </row>
    <row r="157" spans="1:7" ht="12" customHeight="1" x14ac:dyDescent="0.2">
      <c r="A157" s="4">
        <v>156</v>
      </c>
      <c r="B157" s="5" t="s">
        <v>629</v>
      </c>
      <c r="C157" s="6" t="s">
        <v>630</v>
      </c>
      <c r="D157" s="12" t="str">
        <f ca="1">IFERROR(__xludf.DUMMYFUNCTION("GOOGLETRANSLATE(C:C, ""en"",""tr"")"),"Crotonaldehit")</f>
        <v>Crotonaldehit</v>
      </c>
      <c r="E157" s="7" t="s">
        <v>631</v>
      </c>
      <c r="F157" s="7" t="s">
        <v>632</v>
      </c>
      <c r="G157" s="7">
        <v>1</v>
      </c>
    </row>
    <row r="158" spans="1:7" ht="12" customHeight="1" x14ac:dyDescent="0.2">
      <c r="A158" s="4">
        <v>157</v>
      </c>
      <c r="B158" s="5" t="s">
        <v>633</v>
      </c>
      <c r="C158" s="6" t="s">
        <v>634</v>
      </c>
      <c r="D158" s="12" t="str">
        <f ca="1">IFERROR(__xludf.DUMMYFUNCTION("GOOGLETRANSLATE(C:C, ""en"",""tr"")"),"1,5,9-siklododecatriene")</f>
        <v>1,5,9-siklododecatriene</v>
      </c>
      <c r="E158" s="7" t="s">
        <v>635</v>
      </c>
      <c r="F158" s="7" t="s">
        <v>636</v>
      </c>
      <c r="G158" s="7">
        <v>2</v>
      </c>
    </row>
    <row r="159" spans="1:7" ht="12" customHeight="1" x14ac:dyDescent="0.2">
      <c r="A159" s="4">
        <v>158</v>
      </c>
      <c r="B159" s="5" t="s">
        <v>637</v>
      </c>
      <c r="C159" s="6" t="s">
        <v>638</v>
      </c>
      <c r="D159" s="12" t="str">
        <f ca="1">IFERROR(__xludf.DUMMYFUNCTION("GOOGLETRANSLATE(C:C, ""en"",""tr"")"),"Sikloheptan")</f>
        <v>Sikloheptan</v>
      </c>
      <c r="E159" s="7" t="s">
        <v>639</v>
      </c>
      <c r="F159" s="7" t="s">
        <v>640</v>
      </c>
      <c r="G159" s="7">
        <v>2</v>
      </c>
    </row>
    <row r="160" spans="1:7" ht="12" customHeight="1" x14ac:dyDescent="0.2">
      <c r="A160" s="4">
        <v>159</v>
      </c>
      <c r="B160" s="5" t="s">
        <v>641</v>
      </c>
      <c r="C160" s="6" t="s">
        <v>642</v>
      </c>
      <c r="D160" s="12" t="str">
        <f ca="1">IFERROR(__xludf.DUMMYFUNCTION("GOOGLETRANSLATE(C:C, ""en"",""tr"")"),"Sikloheksan")</f>
        <v>Sikloheksan</v>
      </c>
      <c r="E160" s="7" t="s">
        <v>643</v>
      </c>
      <c r="F160" s="7" t="s">
        <v>644</v>
      </c>
      <c r="G160" s="7">
        <v>2</v>
      </c>
    </row>
    <row r="161" spans="1:7" ht="12" customHeight="1" x14ac:dyDescent="0.2">
      <c r="A161" s="4">
        <v>160</v>
      </c>
      <c r="B161" s="5" t="s">
        <v>645</v>
      </c>
      <c r="C161" s="6" t="s">
        <v>646</v>
      </c>
      <c r="D161" s="12" t="str">
        <f ca="1">IFERROR(__xludf.DUMMYFUNCTION("GOOGLETRANSLATE(C:C, ""en"",""tr"")"),"Sikloheksan-1,2-dikarboksilik asit, diisonil ester")</f>
        <v>Sikloheksan-1,2-dikarboksilik asit, diisonil ester</v>
      </c>
      <c r="E161" s="7" t="s">
        <v>647</v>
      </c>
      <c r="F161" s="7" t="s">
        <v>648</v>
      </c>
      <c r="G161" s="7">
        <v>2</v>
      </c>
    </row>
    <row r="162" spans="1:7" ht="12" customHeight="1" x14ac:dyDescent="0.2">
      <c r="A162" s="4">
        <v>161</v>
      </c>
      <c r="B162" s="5" t="s">
        <v>649</v>
      </c>
      <c r="C162" s="6" t="s">
        <v>650</v>
      </c>
      <c r="D162" s="12" t="str">
        <f ca="1">IFERROR(__xludf.DUMMYFUNCTION("GOOGLETRANSLATE(C:C, ""en"",""tr"")"),"Sikloheksanon")</f>
        <v>Sikloheksanon</v>
      </c>
      <c r="E162" s="7" t="s">
        <v>651</v>
      </c>
      <c r="F162" s="7" t="s">
        <v>652</v>
      </c>
      <c r="G162" s="7">
        <v>3</v>
      </c>
    </row>
    <row r="163" spans="1:7" ht="12" customHeight="1" x14ac:dyDescent="0.2">
      <c r="A163" s="4">
        <v>162</v>
      </c>
      <c r="B163" s="5" t="s">
        <v>653</v>
      </c>
      <c r="C163" s="6" t="s">
        <v>654</v>
      </c>
      <c r="D163" s="12" t="str">
        <f ca="1">IFERROR(__xludf.DUMMYFUNCTION("GOOGLETRANSLATE(C:C, ""en"",""tr"")"),"Sikloheksanon, sikloheksanol karışımı")</f>
        <v>Sikloheksanon, sikloheksanol karışımı</v>
      </c>
      <c r="E163" s="7" t="s">
        <v>655</v>
      </c>
      <c r="F163" s="7" t="s">
        <v>656</v>
      </c>
      <c r="G163" s="7">
        <v>3</v>
      </c>
    </row>
    <row r="164" spans="1:7" ht="12" customHeight="1" x14ac:dyDescent="0.2">
      <c r="A164" s="4">
        <v>163</v>
      </c>
      <c r="B164" s="5" t="s">
        <v>657</v>
      </c>
      <c r="C164" s="6" t="s">
        <v>658</v>
      </c>
      <c r="D164" s="12" t="str">
        <f ca="1">IFERROR(__xludf.DUMMYFUNCTION("GOOGLETRANSLATE(C:C, ""en"",""tr"")"),"Sikloheksil asetat")</f>
        <v>Sikloheksil asetat</v>
      </c>
      <c r="E164" s="7" t="s">
        <v>659</v>
      </c>
      <c r="F164" s="7" t="s">
        <v>660</v>
      </c>
      <c r="G164" s="7">
        <v>3</v>
      </c>
    </row>
    <row r="165" spans="1:7" ht="12" customHeight="1" x14ac:dyDescent="0.2">
      <c r="A165" s="4">
        <v>164</v>
      </c>
      <c r="B165" s="5" t="s">
        <v>661</v>
      </c>
      <c r="C165" s="6" t="s">
        <v>662</v>
      </c>
      <c r="D165" s="12" t="str">
        <f ca="1">IFERROR(__xludf.DUMMYFUNCTION("GOOGLETRANSLATE(C:C, ""en"",""tr"")"),"Sikloheksilamin")</f>
        <v>Sikloheksilamin</v>
      </c>
      <c r="E165" s="7" t="s">
        <v>663</v>
      </c>
      <c r="F165" s="7" t="s">
        <v>664</v>
      </c>
      <c r="G165" s="7">
        <v>3</v>
      </c>
    </row>
    <row r="166" spans="1:7" ht="12" customHeight="1" x14ac:dyDescent="0.2">
      <c r="A166" s="4">
        <v>165</v>
      </c>
      <c r="B166" s="5" t="s">
        <v>665</v>
      </c>
      <c r="C166" s="6" t="s">
        <v>666</v>
      </c>
      <c r="D166" s="12" t="str">
        <f ca="1">IFERROR(__xludf.DUMMYFUNCTION("GOOGLETRANSLATE(C:C, ""en"",""tr"")"),"1,3-siklopentadiene dimer (erimiş)")</f>
        <v>1,3-siklopentadiene dimer (erimiş)</v>
      </c>
      <c r="E166" s="7" t="s">
        <v>667</v>
      </c>
      <c r="F166" s="7" t="s">
        <v>668</v>
      </c>
      <c r="G166" s="7">
        <v>2</v>
      </c>
    </row>
    <row r="167" spans="1:7" ht="12" customHeight="1" x14ac:dyDescent="0.2">
      <c r="A167" s="4">
        <v>166</v>
      </c>
      <c r="B167" s="5" t="s">
        <v>669</v>
      </c>
      <c r="C167" s="6" t="s">
        <v>670</v>
      </c>
      <c r="D167" s="12" t="str">
        <f ca="1">IFERROR(__xludf.DUMMYFUNCTION("GOOGLETRANSLATE(C:C, ""en"",""tr"")"),"Siklopenten")</f>
        <v>Siklopenten</v>
      </c>
      <c r="E167" s="7" t="s">
        <v>671</v>
      </c>
      <c r="F167" s="7" t="s">
        <v>672</v>
      </c>
      <c r="G167" s="7">
        <v>3</v>
      </c>
    </row>
    <row r="168" spans="1:7" ht="12" customHeight="1" x14ac:dyDescent="0.2">
      <c r="A168" s="4">
        <v>167</v>
      </c>
      <c r="B168" s="5" t="s">
        <v>673</v>
      </c>
      <c r="C168" s="6" t="s">
        <v>674</v>
      </c>
      <c r="D168" s="12" t="str">
        <f ca="1">IFERROR(__xludf.DUMMYFUNCTION("GOOGLETRANSLATE(C:C, ""en"",""tr"")"),"P-simen")</f>
        <v>P-simen</v>
      </c>
      <c r="E168" s="7" t="s">
        <v>675</v>
      </c>
      <c r="F168" s="7" t="s">
        <v>676</v>
      </c>
      <c r="G168" s="7">
        <v>2</v>
      </c>
    </row>
    <row r="169" spans="1:7" ht="12" customHeight="1" x14ac:dyDescent="0.2">
      <c r="A169" s="4">
        <v>168</v>
      </c>
      <c r="B169" s="5" t="s">
        <v>677</v>
      </c>
      <c r="C169" s="6" t="s">
        <v>678</v>
      </c>
      <c r="D169" s="12" t="str">
        <f ca="1">IFERROR(__xludf.DUMMYFUNCTION("GOOGLETRANSLATE(C:C, ""en"",""tr"")"),"Dekahidronaftalen")</f>
        <v>Dekahidronaftalen</v>
      </c>
      <c r="E169" s="7" t="s">
        <v>679</v>
      </c>
      <c r="F169" s="7" t="s">
        <v>680</v>
      </c>
      <c r="G169" s="7">
        <v>2</v>
      </c>
    </row>
    <row r="170" spans="1:7" ht="12" customHeight="1" x14ac:dyDescent="0.2">
      <c r="A170" s="4">
        <v>169</v>
      </c>
      <c r="B170" s="5" t="s">
        <v>681</v>
      </c>
      <c r="C170" s="6" t="s">
        <v>682</v>
      </c>
      <c r="D170" s="12" t="str">
        <f ca="1">IFERROR(__xludf.DUMMYFUNCTION("GOOGLETRANSLATE(C:C, ""en"",""tr"")"),"Dekanoik asit")</f>
        <v>Dekanoik asit</v>
      </c>
      <c r="E170" s="7" t="s">
        <v>683</v>
      </c>
      <c r="F170" s="7" t="s">
        <v>684</v>
      </c>
      <c r="G170" s="7">
        <v>2</v>
      </c>
    </row>
    <row r="171" spans="1:7" ht="12" customHeight="1" x14ac:dyDescent="0.2">
      <c r="A171" s="4">
        <v>170</v>
      </c>
      <c r="B171" s="5" t="s">
        <v>685</v>
      </c>
      <c r="C171" s="6" t="s">
        <v>686</v>
      </c>
      <c r="D171" s="12" t="str">
        <f ca="1">IFERROR(__xludf.DUMMYFUNCTION("GOOGLETRANSLATE(C:C, ""en"",""tr"")"),"Dekil akrilat")</f>
        <v>Dekil akrilat</v>
      </c>
      <c r="E171" s="7" t="s">
        <v>687</v>
      </c>
      <c r="F171" s="7" t="s">
        <v>688</v>
      </c>
      <c r="G171" s="7">
        <v>1</v>
      </c>
    </row>
    <row r="172" spans="1:7" ht="12" customHeight="1" x14ac:dyDescent="0.2">
      <c r="A172" s="4">
        <v>171</v>
      </c>
      <c r="B172" s="5" t="s">
        <v>689</v>
      </c>
      <c r="C172" s="6" t="s">
        <v>690</v>
      </c>
      <c r="D172" s="12" t="str">
        <f ca="1">IFERROR(__xludf.DUMMYFUNCTION("GOOGLETRANSLATE(C:C, ""en"",""tr"")"),"Dekil / dodesil / tetradesil alkol karışımı")</f>
        <v>Dekil / dodesil / tetradesil alkol karışımı</v>
      </c>
      <c r="E172" s="7" t="s">
        <v>691</v>
      </c>
      <c r="F172" s="7" t="s">
        <v>692</v>
      </c>
      <c r="G172" s="7">
        <v>2</v>
      </c>
    </row>
    <row r="173" spans="1:7" ht="12" customHeight="1" x14ac:dyDescent="0.2">
      <c r="A173" s="4">
        <v>172</v>
      </c>
      <c r="B173" s="5" t="s">
        <v>693</v>
      </c>
      <c r="C173" s="6" t="s">
        <v>694</v>
      </c>
      <c r="D173" s="12" t="str">
        <f ca="1">IFERROR(__xludf.DUMMYFUNCTION("GOOGLETRANSLATE(C:C, ""en"",""tr"")"),"Dekiloksitrahidrotiyofendi dioksit")</f>
        <v>Dekiloksitrahidrotiyofendi dioksit</v>
      </c>
      <c r="E173" s="7" t="s">
        <v>695</v>
      </c>
      <c r="F173" s="7" t="s">
        <v>696</v>
      </c>
      <c r="G173" s="7">
        <v>2</v>
      </c>
    </row>
    <row r="174" spans="1:7" ht="12" customHeight="1" x14ac:dyDescent="0.2">
      <c r="A174" s="4">
        <v>173</v>
      </c>
      <c r="B174" s="5" t="s">
        <v>697</v>
      </c>
      <c r="C174" s="6" t="s">
        <v>698</v>
      </c>
      <c r="D174" s="12" t="str">
        <f ca="1">IFERROR(__xludf.DUMMYFUNCTION("GOOGLETRANSLATE(C:C, ""en"",""tr"")"),"Diaseton alkolü")</f>
        <v>Diaseton alkolü</v>
      </c>
      <c r="E174" s="7" t="s">
        <v>699</v>
      </c>
      <c r="F174" s="7" t="s">
        <v>700</v>
      </c>
      <c r="G174" s="7">
        <v>3</v>
      </c>
    </row>
    <row r="175" spans="1:7" ht="12" customHeight="1" x14ac:dyDescent="0.2">
      <c r="A175" s="4">
        <v>174</v>
      </c>
      <c r="B175" s="5" t="s">
        <v>701</v>
      </c>
      <c r="C175" s="6" t="s">
        <v>702</v>
      </c>
      <c r="D175" s="12" t="str">
        <f ca="1">IFERROR(__xludf.DUMMYFUNCTION("GOOGLETRANSLATE(C:C, ""en"",""tr"")"),"Dialkil (C7-C13) ftalatları")</f>
        <v>Dialkil (C7-C13) ftalatları</v>
      </c>
      <c r="E175" s="7" t="s">
        <v>703</v>
      </c>
      <c r="F175" s="7" t="s">
        <v>704</v>
      </c>
      <c r="G175" s="7">
        <v>2</v>
      </c>
    </row>
    <row r="176" spans="1:7" ht="12" customHeight="1" x14ac:dyDescent="0.2">
      <c r="A176" s="4">
        <v>175</v>
      </c>
      <c r="B176" s="5" t="s">
        <v>705</v>
      </c>
      <c r="C176" s="6" t="s">
        <v>705</v>
      </c>
      <c r="D176" s="12" t="str">
        <f ca="1">IFERROR(__xludf.DUMMYFUNCTION("GOOGLETRANSLATE(C:C, ""en"",""tr"")"),"Dialkil (C9-C10) ftalatları")</f>
        <v>Dialkil (C9-C10) ftalatları</v>
      </c>
      <c r="E176" s="7" t="s">
        <v>706</v>
      </c>
      <c r="F176" s="7" t="s">
        <v>707</v>
      </c>
      <c r="G176" s="7">
        <v>2</v>
      </c>
    </row>
    <row r="177" spans="1:7" ht="12" customHeight="1" x14ac:dyDescent="0.2">
      <c r="A177" s="4">
        <v>176</v>
      </c>
      <c r="B177" s="5" t="s">
        <v>708</v>
      </c>
      <c r="C177" s="6" t="s">
        <v>709</v>
      </c>
      <c r="D177" s="12" t="str">
        <f ca="1">IFERROR(__xludf.DUMMYFUNCTION("GOOGLETRANSLATE(C:C, ""en"",""tr"")"),"Dialkil Thiophosfates Sodyum Tuzları Çözümü")</f>
        <v>Dialkil Thiophosfates Sodyum Tuzları Çözümü</v>
      </c>
      <c r="E177" s="7" t="s">
        <v>710</v>
      </c>
      <c r="F177" s="7" t="s">
        <v>711</v>
      </c>
      <c r="G177" s="7">
        <v>2</v>
      </c>
    </row>
    <row r="178" spans="1:7" ht="12" customHeight="1" x14ac:dyDescent="0.2">
      <c r="A178" s="4">
        <v>177</v>
      </c>
      <c r="B178" s="5" t="s">
        <v>712</v>
      </c>
      <c r="C178" s="6" t="s">
        <v>713</v>
      </c>
      <c r="D178" s="12" t="str">
        <f ca="1">IFERROR(__xludf.DUMMYFUNCTION("GOOGLETRANSLATE(C:C, ""en"",""tr"")"),"2,6-Diaminoheksanoik Asit Fosfonat Karışık Tuzlar Çözümü")</f>
        <v>2,6-Diaminoheksanoik Asit Fosfonat Karışık Tuzlar Çözümü</v>
      </c>
      <c r="E178" s="7" t="s">
        <v>714</v>
      </c>
      <c r="F178" s="7" t="s">
        <v>715</v>
      </c>
      <c r="G178" s="7">
        <v>3</v>
      </c>
    </row>
    <row r="179" spans="1:7" ht="12" customHeight="1" x14ac:dyDescent="0.2">
      <c r="A179" s="4">
        <v>178</v>
      </c>
      <c r="B179" s="5" t="s">
        <v>716</v>
      </c>
      <c r="C179" s="6" t="s">
        <v>717</v>
      </c>
      <c r="D179" s="12" t="str">
        <f ca="1">IFERROR(__xludf.DUMMYFUNCTION("GOOGLETRANSLATE(C:C, ""en"",""tr"")"),"Dibromometan")</f>
        <v>Dibromometan</v>
      </c>
      <c r="E179" s="7" t="s">
        <v>718</v>
      </c>
      <c r="F179" s="7" t="s">
        <v>719</v>
      </c>
      <c r="G179" s="7">
        <v>2</v>
      </c>
    </row>
    <row r="180" spans="1:7" ht="12" customHeight="1" x14ac:dyDescent="0.2">
      <c r="A180" s="4">
        <v>179</v>
      </c>
      <c r="B180" s="5" t="s">
        <v>720</v>
      </c>
      <c r="C180" s="6" t="s">
        <v>721</v>
      </c>
      <c r="D180" s="12" t="str">
        <f ca="1">IFERROR(__xludf.DUMMYFUNCTION("GOOGLETRANSLATE(C:C, ""en"",""tr"")"),"Dibütilamin")</f>
        <v>Dibütilamin</v>
      </c>
      <c r="E180" s="7" t="s">
        <v>722</v>
      </c>
      <c r="F180" s="7" t="s">
        <v>723</v>
      </c>
      <c r="G180" s="7">
        <v>2</v>
      </c>
    </row>
    <row r="181" spans="1:7" ht="12" customHeight="1" x14ac:dyDescent="0.2">
      <c r="A181" s="4">
        <v>180</v>
      </c>
      <c r="B181" s="5" t="s">
        <v>724</v>
      </c>
      <c r="C181" s="6" t="s">
        <v>725</v>
      </c>
      <c r="D181" s="12" t="str">
        <f ca="1">IFERROR(__xludf.DUMMYFUNCTION("GOOGLETRANSLATE(C:C, ""en"",""tr"")"),"Dibutil hidrojen fosfonatı")</f>
        <v>Dibutil hidrojen fosfonatı</v>
      </c>
      <c r="E181" s="7" t="s">
        <v>726</v>
      </c>
      <c r="F181" s="7" t="s">
        <v>727</v>
      </c>
      <c r="G181" s="7">
        <v>2</v>
      </c>
    </row>
    <row r="182" spans="1:7" ht="12" customHeight="1" x14ac:dyDescent="0.2">
      <c r="A182" s="4">
        <v>181</v>
      </c>
      <c r="B182" s="5" t="s">
        <v>728</v>
      </c>
      <c r="C182" s="6" t="s">
        <v>729</v>
      </c>
      <c r="D182" s="12" t="str">
        <f ca="1">IFERROR(__xludf.DUMMYFUNCTION("GOOGLETRANSLATE(C:C, ""en"",""tr"")"),"2,6-di-tert-bütilfenol")</f>
        <v>2,6-di-tert-bütilfenol</v>
      </c>
      <c r="E182" s="7" t="s">
        <v>730</v>
      </c>
      <c r="F182" s="7" t="s">
        <v>731</v>
      </c>
      <c r="G182" s="7">
        <v>2</v>
      </c>
    </row>
    <row r="183" spans="1:7" ht="12" customHeight="1" x14ac:dyDescent="0.2">
      <c r="A183" s="4">
        <v>182</v>
      </c>
      <c r="B183" s="5" t="s">
        <v>732</v>
      </c>
      <c r="C183" s="6" t="s">
        <v>733</v>
      </c>
      <c r="D183" s="12" t="str">
        <f ca="1">IFERROR(__xludf.DUMMYFUNCTION("GOOGLETRANSLATE(C:C, ""en"",""tr"")"),"Dibütil ftalat")</f>
        <v>Dibütil ftalat</v>
      </c>
      <c r="E183" s="7" t="s">
        <v>734</v>
      </c>
      <c r="F183" s="7" t="s">
        <v>735</v>
      </c>
      <c r="G183" s="7">
        <v>2</v>
      </c>
    </row>
    <row r="184" spans="1:7" ht="12" customHeight="1" x14ac:dyDescent="0.2">
      <c r="A184" s="4">
        <v>183</v>
      </c>
      <c r="B184" s="5" t="s">
        <v>736</v>
      </c>
      <c r="C184" s="6" t="s">
        <v>737</v>
      </c>
      <c r="D184" s="12" t="str">
        <f ca="1">IFERROR(__xludf.DUMMYFUNCTION("GOOGLETRANSLATE(C:C, ""en"",""tr"")"),"Diklorobenzen (tüm izomerler)")</f>
        <v>Diklorobenzen (tüm izomerler)</v>
      </c>
      <c r="E184" s="7" t="s">
        <v>738</v>
      </c>
      <c r="F184" s="7" t="s">
        <v>739</v>
      </c>
      <c r="G184" s="7">
        <v>2</v>
      </c>
    </row>
    <row r="185" spans="1:7" ht="12" customHeight="1" x14ac:dyDescent="0.2">
      <c r="A185" s="4">
        <v>184</v>
      </c>
      <c r="B185" s="5" t="s">
        <v>740</v>
      </c>
      <c r="C185" s="6" t="s">
        <v>741</v>
      </c>
      <c r="D185" s="12" t="str">
        <f ca="1">IFERROR(__xludf.DUMMYFUNCTION("GOOGLETRANSLATE(C:C, ""en"",""tr"")"),"3,4-dikloro-1-Büten")</f>
        <v>3,4-dikloro-1-Büten</v>
      </c>
      <c r="E185" s="7" t="s">
        <v>742</v>
      </c>
      <c r="F185" s="7" t="s">
        <v>743</v>
      </c>
      <c r="G185" s="7">
        <v>2</v>
      </c>
    </row>
    <row r="186" spans="1:7" ht="12" customHeight="1" x14ac:dyDescent="0.2">
      <c r="A186" s="4">
        <v>185</v>
      </c>
      <c r="B186" s="5" t="s">
        <v>744</v>
      </c>
      <c r="C186" s="6" t="s">
        <v>745</v>
      </c>
      <c r="D186" s="12" t="str">
        <f ca="1">IFERROR(__xludf.DUMMYFUNCTION("GOOGLETRANSLATE(C:C, ""en"",""tr"")"),"1,1-dikloroetan")</f>
        <v>1,1-dikloroetan</v>
      </c>
      <c r="E186" s="7" t="s">
        <v>746</v>
      </c>
      <c r="F186" s="7" t="s">
        <v>747</v>
      </c>
      <c r="G186" s="7">
        <v>3</v>
      </c>
    </row>
    <row r="187" spans="1:7" ht="12" customHeight="1" x14ac:dyDescent="0.2">
      <c r="A187" s="4">
        <v>186</v>
      </c>
      <c r="B187" s="5" t="s">
        <v>748</v>
      </c>
      <c r="C187" s="6" t="s">
        <v>749</v>
      </c>
      <c r="D187" s="12" t="str">
        <f ca="1">IFERROR(__xludf.DUMMYFUNCTION("GOOGLETRANSLATE(C:C, ""en"",""tr"")"),"Dikloroetil eter")</f>
        <v>Dikloroetil eter</v>
      </c>
      <c r="E187" s="7" t="s">
        <v>750</v>
      </c>
      <c r="F187" s="7" t="s">
        <v>751</v>
      </c>
      <c r="G187" s="7">
        <v>2</v>
      </c>
    </row>
    <row r="188" spans="1:7" ht="12" customHeight="1" x14ac:dyDescent="0.2">
      <c r="A188" s="4">
        <v>187</v>
      </c>
      <c r="B188" s="5" t="s">
        <v>752</v>
      </c>
      <c r="C188" s="6" t="s">
        <v>752</v>
      </c>
      <c r="D188" s="12" t="str">
        <f ca="1">IFERROR(__xludf.DUMMYFUNCTION("GOOGLETRANSLATE(C:C, ""en"",""tr"")"),"2,2'-dikloroizopropil eter")</f>
        <v>2,2'-dikloroizopropil eter</v>
      </c>
      <c r="E188" s="7" t="s">
        <v>753</v>
      </c>
      <c r="F188" s="7" t="s">
        <v>754</v>
      </c>
      <c r="G188" s="7">
        <v>2</v>
      </c>
    </row>
    <row r="189" spans="1:7" ht="12" customHeight="1" x14ac:dyDescent="0.2">
      <c r="A189" s="4">
        <v>188</v>
      </c>
      <c r="B189" s="5" t="s">
        <v>755</v>
      </c>
      <c r="C189" s="6" t="s">
        <v>756</v>
      </c>
      <c r="D189" s="12" t="str">
        <f ca="1">IFERROR(__xludf.DUMMYFUNCTION("GOOGLETRANSLATE(C:C, ""en"",""tr"")"),"Diklorometan")</f>
        <v>Diklorometan</v>
      </c>
      <c r="E189" s="7" t="s">
        <v>757</v>
      </c>
      <c r="F189" s="7" t="s">
        <v>758</v>
      </c>
      <c r="G189" s="7">
        <v>3</v>
      </c>
    </row>
    <row r="190" spans="1:7" ht="12" customHeight="1" x14ac:dyDescent="0.2">
      <c r="A190" s="4">
        <v>189</v>
      </c>
      <c r="B190" s="5" t="s">
        <v>759</v>
      </c>
      <c r="C190" s="6" t="s">
        <v>760</v>
      </c>
      <c r="D190" s="12" t="str">
        <f ca="1">IFERROR(__xludf.DUMMYFUNCTION("GOOGLETRANSLATE(C:C, ""en"",""tr"")"),"2,4-diklorofenol")</f>
        <v>2,4-diklorofenol</v>
      </c>
      <c r="E190" s="7" t="s">
        <v>761</v>
      </c>
      <c r="F190" s="7" t="s">
        <v>762</v>
      </c>
      <c r="G190" s="7">
        <v>2</v>
      </c>
    </row>
    <row r="191" spans="1:7" ht="12" customHeight="1" x14ac:dyDescent="0.2">
      <c r="A191" s="4">
        <v>190</v>
      </c>
      <c r="B191" s="5" t="s">
        <v>763</v>
      </c>
      <c r="C191" s="6" t="s">
        <v>764</v>
      </c>
      <c r="D191" s="12" t="str">
        <f ca="1">IFERROR(__xludf.DUMMYFUNCTION("GOOGLETRANSLATE(C:C, ""en"",""tr"")"),"2,4-diklorofenoksiasetik asit, dietanolamin tuz çözeltisi")</f>
        <v>2,4-diklorofenoksiasetik asit, dietanolamin tuz çözeltisi</v>
      </c>
      <c r="E191" s="7" t="s">
        <v>765</v>
      </c>
      <c r="F191" s="7" t="s">
        <v>766</v>
      </c>
      <c r="G191" s="7">
        <v>3</v>
      </c>
    </row>
    <row r="192" spans="1:7" ht="12" customHeight="1" x14ac:dyDescent="0.2">
      <c r="A192" s="4">
        <v>191</v>
      </c>
      <c r="B192" s="5" t="s">
        <v>767</v>
      </c>
      <c r="C192" s="6" t="s">
        <v>768</v>
      </c>
      <c r="D192" s="12" t="str">
        <f ca="1">IFERROR(__xludf.DUMMYFUNCTION("GOOGLETRANSLATE(C:C, ""en"",""tr"")"),"2,4-diklorofenoksiasetik asit, dimetilamin tuz çözeltisi (%70 veya daha az)")</f>
        <v>2,4-diklorofenoksiasetik asit, dimetilamin tuz çözeltisi (%70 veya daha az)</v>
      </c>
      <c r="E192" s="7" t="s">
        <v>769</v>
      </c>
      <c r="F192" s="7" t="s">
        <v>770</v>
      </c>
      <c r="G192" s="7">
        <v>3</v>
      </c>
    </row>
    <row r="193" spans="1:7" ht="12" customHeight="1" x14ac:dyDescent="0.2">
      <c r="A193" s="4">
        <v>192</v>
      </c>
      <c r="B193" s="5" t="s">
        <v>771</v>
      </c>
      <c r="C193" s="6" t="s">
        <v>772</v>
      </c>
      <c r="D193" s="12" t="str">
        <f ca="1">IFERROR(__xludf.DUMMYFUNCTION("GOOGLETRANSLATE(C:C, ""en"",""tr"")"),"2,4-diklorofenoksiasetik asit, triisopropanolamin tuz çözeltisi")</f>
        <v>2,4-diklorofenoksiasetik asit, triisopropanolamin tuz çözeltisi</v>
      </c>
      <c r="E193" s="7" t="s">
        <v>773</v>
      </c>
      <c r="F193" s="7" t="s">
        <v>774</v>
      </c>
      <c r="G193" s="7">
        <v>3</v>
      </c>
    </row>
    <row r="194" spans="1:7" ht="12" customHeight="1" x14ac:dyDescent="0.2">
      <c r="A194" s="4">
        <v>193</v>
      </c>
      <c r="B194" s="5" t="s">
        <v>775</v>
      </c>
      <c r="C194" s="6" t="s">
        <v>776</v>
      </c>
      <c r="D194" s="12" t="str">
        <f ca="1">IFERROR(__xludf.DUMMYFUNCTION("GOOGLETRANSLATE(C:C, ""en"",""tr"")"),"1,1-dikloropropan")</f>
        <v>1,1-dikloropropan</v>
      </c>
      <c r="E194" s="7" t="s">
        <v>777</v>
      </c>
      <c r="F194" s="7" t="s">
        <v>778</v>
      </c>
      <c r="G194" s="7">
        <v>2</v>
      </c>
    </row>
    <row r="195" spans="1:7" ht="12" customHeight="1" x14ac:dyDescent="0.2">
      <c r="A195" s="4">
        <v>194</v>
      </c>
      <c r="B195" s="5" t="s">
        <v>779</v>
      </c>
      <c r="C195" s="6" t="s">
        <v>780</v>
      </c>
      <c r="D195" s="12" t="str">
        <f ca="1">IFERROR(__xludf.DUMMYFUNCTION("GOOGLETRANSLATE(C:C, ""en"",""tr"")"),"1,2-dikloropropan")</f>
        <v>1,2-dikloropropan</v>
      </c>
      <c r="E195" s="7" t="s">
        <v>781</v>
      </c>
      <c r="F195" s="7" t="s">
        <v>782</v>
      </c>
      <c r="G195" s="7">
        <v>3</v>
      </c>
    </row>
    <row r="196" spans="1:7" ht="12" customHeight="1" x14ac:dyDescent="0.2">
      <c r="A196" s="4">
        <v>195</v>
      </c>
      <c r="B196" s="5" t="s">
        <v>783</v>
      </c>
      <c r="C196" s="6" t="s">
        <v>784</v>
      </c>
      <c r="D196" s="12" t="str">
        <f ca="1">IFERROR(__xludf.DUMMYFUNCTION("GOOGLETRANSLATE(C:C, ""en"",""tr"")"),"1,3-dikloropropen")</f>
        <v>1,3-dikloropropen</v>
      </c>
      <c r="E196" s="7" t="s">
        <v>785</v>
      </c>
      <c r="F196" s="7" t="s">
        <v>786</v>
      </c>
      <c r="G196" s="7">
        <v>2</v>
      </c>
    </row>
    <row r="197" spans="1:7" ht="12" customHeight="1" x14ac:dyDescent="0.2">
      <c r="A197" s="4">
        <v>196</v>
      </c>
      <c r="B197" s="5" t="s">
        <v>787</v>
      </c>
      <c r="C197" s="6" t="s">
        <v>788</v>
      </c>
      <c r="D197" s="12" t="str">
        <f ca="1">IFERROR(__xludf.DUMMYFUNCTION("GOOGLETRANSLATE(C:C, ""en"",""tr"")"),"Dikloropropen / dikloropropan karışımları")</f>
        <v>Dikloropropen / dikloropropan karışımları</v>
      </c>
      <c r="E197" s="7" t="s">
        <v>789</v>
      </c>
      <c r="F197" s="7" t="s">
        <v>790</v>
      </c>
      <c r="G197" s="7">
        <v>2</v>
      </c>
    </row>
    <row r="198" spans="1:7" ht="12" customHeight="1" x14ac:dyDescent="0.2">
      <c r="A198" s="4">
        <v>197</v>
      </c>
      <c r="B198" s="5" t="s">
        <v>791</v>
      </c>
      <c r="C198" s="6" t="s">
        <v>792</v>
      </c>
      <c r="D198" s="12" t="str">
        <f ca="1">IFERROR(__xludf.DUMMYFUNCTION("GOOGLETRANSLATE(C:C, ""en"",""tr"")"),"2,2-dikloropropiyonik asit")</f>
        <v>2,2-dikloropropiyonik asit</v>
      </c>
      <c r="E198" s="7" t="s">
        <v>793</v>
      </c>
      <c r="F198" s="7" t="s">
        <v>794</v>
      </c>
      <c r="G198" s="7">
        <v>2</v>
      </c>
    </row>
    <row r="199" spans="1:7" ht="12" customHeight="1" x14ac:dyDescent="0.2">
      <c r="A199" s="4">
        <v>198</v>
      </c>
      <c r="B199" s="5" t="s">
        <v>795</v>
      </c>
      <c r="C199" s="6" t="s">
        <v>796</v>
      </c>
      <c r="D199" s="12" t="str">
        <f ca="1">IFERROR(__xludf.DUMMYFUNCTION("GOOGLETRANSLATE(C:C, ""en"",""tr"")"),"Disiklopentadiene, reçine derecesi, 81-89%")</f>
        <v>Disiklopentadiene, reçine derecesi, 81-89%</v>
      </c>
      <c r="E199" s="7" t="s">
        <v>797</v>
      </c>
      <c r="F199" s="7" t="s">
        <v>798</v>
      </c>
      <c r="G199" s="7">
        <v>2</v>
      </c>
    </row>
    <row r="200" spans="1:7" ht="12" customHeight="1" x14ac:dyDescent="0.2">
      <c r="A200" s="4">
        <v>199</v>
      </c>
      <c r="B200" s="5" t="s">
        <v>799</v>
      </c>
      <c r="C200" s="6" t="s">
        <v>800</v>
      </c>
      <c r="D200" s="12" t="str">
        <f ca="1">IFERROR(__xludf.DUMMYFUNCTION("GOOGLETRANSLATE(C:C, ""en"",""tr"")"),"Diethanolamin")</f>
        <v>Diethanolamin</v>
      </c>
      <c r="E200" s="7" t="s">
        <v>801</v>
      </c>
      <c r="F200" s="7" t="s">
        <v>802</v>
      </c>
      <c r="G200" s="7">
        <v>3</v>
      </c>
    </row>
    <row r="201" spans="1:7" ht="12" customHeight="1" x14ac:dyDescent="0.2">
      <c r="A201" s="4">
        <v>200</v>
      </c>
      <c r="B201" s="5" t="s">
        <v>803</v>
      </c>
      <c r="C201" s="6" t="s">
        <v>804</v>
      </c>
      <c r="D201" s="12" t="str">
        <f ca="1">IFERROR(__xludf.DUMMYFUNCTION("GOOGLETRANSLATE(C:C, ""en"",""tr"")"),"Dietilamin")</f>
        <v>Dietilamin</v>
      </c>
      <c r="E201" s="7" t="s">
        <v>805</v>
      </c>
      <c r="F201" s="7" t="s">
        <v>806</v>
      </c>
      <c r="G201" s="7">
        <v>3</v>
      </c>
    </row>
    <row r="202" spans="1:7" ht="12" customHeight="1" x14ac:dyDescent="0.2">
      <c r="A202" s="4">
        <v>201</v>
      </c>
      <c r="B202" s="5" t="s">
        <v>807</v>
      </c>
      <c r="C202" s="6" t="s">
        <v>808</v>
      </c>
      <c r="D202" s="12" t="str">
        <f ca="1">IFERROR(__xludf.DUMMYFUNCTION("GOOGLETRANSLATE(C:C, ""en"",""tr"")"),"Dietilaminoetanol")</f>
        <v>Dietilaminoetanol</v>
      </c>
      <c r="E202" s="7" t="s">
        <v>809</v>
      </c>
      <c r="F202" s="7" t="s">
        <v>810</v>
      </c>
      <c r="G202" s="7">
        <v>2</v>
      </c>
    </row>
    <row r="203" spans="1:7" ht="12" customHeight="1" x14ac:dyDescent="0.2">
      <c r="A203" s="4">
        <v>202</v>
      </c>
      <c r="B203" s="5" t="s">
        <v>811</v>
      </c>
      <c r="C203" s="6" t="s">
        <v>812</v>
      </c>
      <c r="D203" s="12" t="str">
        <f ca="1">IFERROR(__xludf.DUMMYFUNCTION("GOOGLETRANSLATE(C:C, ""en"",""tr"")"),"2,6-dietilanilin")</f>
        <v>2,6-dietilanilin</v>
      </c>
      <c r="E203" s="7" t="s">
        <v>813</v>
      </c>
      <c r="F203" s="7" t="s">
        <v>814</v>
      </c>
      <c r="G203" s="7">
        <v>2</v>
      </c>
    </row>
    <row r="204" spans="1:7" ht="12" customHeight="1" x14ac:dyDescent="0.2">
      <c r="A204" s="4">
        <v>203</v>
      </c>
      <c r="B204" s="5" t="s">
        <v>815</v>
      </c>
      <c r="C204" s="6" t="s">
        <v>816</v>
      </c>
      <c r="D204" s="12" t="str">
        <f ca="1">IFERROR(__xludf.DUMMYFUNCTION("GOOGLETRANSLATE(C:C, ""en"",""tr"")"),"Dietilbenzen")</f>
        <v>Dietilbenzen</v>
      </c>
      <c r="E204" s="7" t="s">
        <v>817</v>
      </c>
      <c r="F204" s="7" t="s">
        <v>818</v>
      </c>
      <c r="G204" s="7">
        <v>2</v>
      </c>
    </row>
    <row r="205" spans="1:7" ht="12" customHeight="1" x14ac:dyDescent="0.2">
      <c r="A205" s="4">
        <v>204</v>
      </c>
      <c r="B205" s="5" t="s">
        <v>819</v>
      </c>
      <c r="C205" s="6" t="s">
        <v>820</v>
      </c>
      <c r="D205" s="12" t="str">
        <f ca="1">IFERROR(__xludf.DUMMYFUNCTION("GOOGLETRANSLATE(C:C, ""en"",""tr"")"),"Dietilen glikol")</f>
        <v>Dietilen glikol</v>
      </c>
      <c r="E205" s="7" t="s">
        <v>821</v>
      </c>
      <c r="F205" s="7" t="s">
        <v>822</v>
      </c>
      <c r="G205" s="7">
        <v>3</v>
      </c>
    </row>
    <row r="206" spans="1:7" ht="12" customHeight="1" x14ac:dyDescent="0.2">
      <c r="A206" s="4">
        <v>205</v>
      </c>
      <c r="B206" s="5" t="s">
        <v>823</v>
      </c>
      <c r="C206" s="6" t="s">
        <v>824</v>
      </c>
      <c r="D206" s="12" t="str">
        <f ca="1">IFERROR(__xludf.DUMMYFUNCTION("GOOGLETRANSLATE(C:C, ""en"",""tr"")"),"Dietilen glikol dibutil eter")</f>
        <v>Dietilen glikol dibutil eter</v>
      </c>
      <c r="E206" s="7" t="s">
        <v>825</v>
      </c>
      <c r="F206" s="7" t="s">
        <v>826</v>
      </c>
      <c r="G206" s="7">
        <v>3</v>
      </c>
    </row>
    <row r="207" spans="1:7" ht="12" customHeight="1" x14ac:dyDescent="0.2">
      <c r="A207" s="4">
        <v>206</v>
      </c>
      <c r="B207" s="5" t="s">
        <v>827</v>
      </c>
      <c r="C207" s="6" t="s">
        <v>828</v>
      </c>
      <c r="D207" s="12" t="str">
        <f ca="1">IFERROR(__xludf.DUMMYFUNCTION("GOOGLETRANSLATE(C:C, ""en"",""tr"")"),"Dietilen glikol dietil eter")</f>
        <v>Dietilen glikol dietil eter</v>
      </c>
      <c r="E207" s="7" t="s">
        <v>829</v>
      </c>
      <c r="F207" s="7" t="s">
        <v>830</v>
      </c>
      <c r="G207" s="7">
        <v>3</v>
      </c>
    </row>
    <row r="208" spans="1:7" ht="12" customHeight="1" x14ac:dyDescent="0.2">
      <c r="A208" s="4">
        <v>207</v>
      </c>
      <c r="B208" s="5" t="s">
        <v>831</v>
      </c>
      <c r="C208" s="6" t="s">
        <v>832</v>
      </c>
      <c r="D208" s="12" t="str">
        <f ca="1">IFERROR(__xludf.DUMMYFUNCTION("GOOGLETRANSLATE(C:C, ""en"",""tr"")"),"Dietilen glikol ftalat")</f>
        <v>Dietilen glikol ftalat</v>
      </c>
      <c r="E208" s="7" t="s">
        <v>833</v>
      </c>
      <c r="F208" s="7" t="s">
        <v>834</v>
      </c>
      <c r="G208" s="7">
        <v>3</v>
      </c>
    </row>
    <row r="209" spans="1:7" ht="12" customHeight="1" x14ac:dyDescent="0.2">
      <c r="A209" s="4">
        <v>208</v>
      </c>
      <c r="B209" s="5" t="s">
        <v>835</v>
      </c>
      <c r="C209" s="6" t="s">
        <v>836</v>
      </c>
      <c r="D209" s="12" t="str">
        <f ca="1">IFERROR(__xludf.DUMMYFUNCTION("GOOGLETRANSLATE(C:C, ""en"",""tr"")"),"Dietilenetriamin")</f>
        <v>Dietilenetriamin</v>
      </c>
      <c r="E209" s="7" t="s">
        <v>837</v>
      </c>
      <c r="F209" s="7" t="s">
        <v>838</v>
      </c>
      <c r="G209" s="7">
        <v>3</v>
      </c>
    </row>
    <row r="210" spans="1:7" ht="12" customHeight="1" x14ac:dyDescent="0.2">
      <c r="A210" s="4">
        <v>209</v>
      </c>
      <c r="B210" s="5" t="s">
        <v>839</v>
      </c>
      <c r="C210" s="6" t="s">
        <v>840</v>
      </c>
      <c r="D210" s="12" t="str">
        <f ca="1">IFERROR(__xludf.DUMMYFUNCTION("GOOGLETRANSLATE(C:C, ""en"",""tr"")"),"Dietil eter (*)")</f>
        <v>Dietil eter (*)</v>
      </c>
      <c r="E210" s="7" t="s">
        <v>841</v>
      </c>
      <c r="F210" s="7" t="s">
        <v>842</v>
      </c>
      <c r="G210" s="7">
        <v>2</v>
      </c>
    </row>
    <row r="211" spans="1:7" ht="12" customHeight="1" x14ac:dyDescent="0.2">
      <c r="A211" s="4">
        <v>210</v>
      </c>
      <c r="B211" s="5" t="s">
        <v>843</v>
      </c>
      <c r="C211" s="6" t="s">
        <v>844</v>
      </c>
      <c r="D211" s="12" t="str">
        <f ca="1">IFERROR(__xludf.DUMMYFUNCTION("GOOGLETRANSLATE(C:C, ""en"",""tr"")"),"Di- (2-etilheksil) adipat")</f>
        <v>Di- (2-etilheksil) adipat</v>
      </c>
      <c r="E211" s="7" t="s">
        <v>845</v>
      </c>
      <c r="F211" s="7" t="s">
        <v>846</v>
      </c>
      <c r="G211" s="7">
        <v>2</v>
      </c>
    </row>
    <row r="212" spans="1:7" ht="12" customHeight="1" x14ac:dyDescent="0.2">
      <c r="A212" s="4">
        <v>211</v>
      </c>
      <c r="B212" s="5" t="s">
        <v>847</v>
      </c>
      <c r="C212" s="6" t="s">
        <v>848</v>
      </c>
      <c r="D212" s="12" t="str">
        <f ca="1">IFERROR(__xludf.DUMMYFUNCTION("GOOGLETRANSLATE(C:C, ""en"",""tr"")"),"Di- (2-etilheksil) fosforik asit")</f>
        <v>Di- (2-etilheksil) fosforik asit</v>
      </c>
      <c r="E212" s="7" t="s">
        <v>849</v>
      </c>
      <c r="F212" s="7" t="s">
        <v>850</v>
      </c>
      <c r="G212" s="7">
        <v>2</v>
      </c>
    </row>
    <row r="213" spans="1:7" ht="12" customHeight="1" x14ac:dyDescent="0.2">
      <c r="A213" s="4">
        <v>212</v>
      </c>
      <c r="B213" s="5" t="s">
        <v>851</v>
      </c>
      <c r="C213" s="6" t="s">
        <v>852</v>
      </c>
      <c r="D213" s="12" t="str">
        <f ca="1">IFERROR(__xludf.DUMMYFUNCTION("GOOGLETRANSLATE(C:C, ""en"",""tr"")"),"Dietil ftalat")</f>
        <v>Dietil ftalat</v>
      </c>
      <c r="E213" s="7" t="s">
        <v>853</v>
      </c>
      <c r="F213" s="7" t="s">
        <v>854</v>
      </c>
      <c r="G213" s="7">
        <v>2</v>
      </c>
    </row>
    <row r="214" spans="1:7" ht="12" customHeight="1" x14ac:dyDescent="0.2">
      <c r="A214" s="4">
        <v>213</v>
      </c>
      <c r="B214" s="5" t="s">
        <v>855</v>
      </c>
      <c r="C214" s="6" t="s">
        <v>856</v>
      </c>
      <c r="D214" s="12" t="str">
        <f ca="1">IFERROR(__xludf.DUMMYFUNCTION("GOOGLETRANSLATE(C:C, ""en"",""tr"")"),"Dietil sülfat")</f>
        <v>Dietil sülfat</v>
      </c>
      <c r="E214" s="7" t="s">
        <v>857</v>
      </c>
      <c r="F214" s="7" t="s">
        <v>858</v>
      </c>
      <c r="G214" s="7">
        <v>2</v>
      </c>
    </row>
    <row r="215" spans="1:7" ht="12" customHeight="1" x14ac:dyDescent="0.2">
      <c r="A215" s="4">
        <v>214</v>
      </c>
      <c r="B215" s="5" t="s">
        <v>859</v>
      </c>
      <c r="C215" s="6" t="s">
        <v>860</v>
      </c>
      <c r="D215" s="12" t="str">
        <f ca="1">IFERROR(__xludf.DUMMYFUNCTION("GOOGLETRANSLATE(C:C, ""en"",""tr"")"),"Bisfenol A Diglisidil Eteri")</f>
        <v>Bisfenol A Diglisidil Eteri</v>
      </c>
      <c r="E215" s="7" t="s">
        <v>861</v>
      </c>
      <c r="F215" s="7" t="s">
        <v>862</v>
      </c>
      <c r="G215" s="7">
        <v>2</v>
      </c>
    </row>
    <row r="216" spans="1:7" ht="12" customHeight="1" x14ac:dyDescent="0.2">
      <c r="A216" s="4">
        <v>215</v>
      </c>
      <c r="B216" s="5" t="s">
        <v>863</v>
      </c>
      <c r="C216" s="6" t="s">
        <v>864</v>
      </c>
      <c r="D216" s="12" t="str">
        <f ca="1">IFERROR(__xludf.DUMMYFUNCTION("GOOGLETRANSLATE(C:C, ""en"",""tr"")"),"Bisfenol F Diglisidil Eteri")</f>
        <v>Bisfenol F Diglisidil Eteri</v>
      </c>
      <c r="E216" s="7" t="s">
        <v>865</v>
      </c>
      <c r="F216" s="7" t="s">
        <v>866</v>
      </c>
      <c r="G216" s="7">
        <v>2</v>
      </c>
    </row>
    <row r="217" spans="1:7" ht="12" customHeight="1" x14ac:dyDescent="0.2">
      <c r="A217" s="4">
        <v>216</v>
      </c>
      <c r="B217" s="5" t="s">
        <v>867</v>
      </c>
      <c r="C217" s="6" t="s">
        <v>868</v>
      </c>
      <c r="D217" s="12" t="str">
        <f ca="1">IFERROR(__xludf.DUMMYFUNCTION("GOOGLETRANSLATE(C:C, ""en"",""tr"")"),"Diheptyl ftalat")</f>
        <v>Diheptyl ftalat</v>
      </c>
      <c r="E217" s="7" t="s">
        <v>869</v>
      </c>
      <c r="F217" s="7" t="s">
        <v>870</v>
      </c>
      <c r="G217" s="7">
        <v>2</v>
      </c>
    </row>
    <row r="218" spans="1:7" ht="12" customHeight="1" x14ac:dyDescent="0.2">
      <c r="A218" s="4">
        <v>217</v>
      </c>
      <c r="B218" s="5" t="s">
        <v>871</v>
      </c>
      <c r="C218" s="6" t="s">
        <v>872</v>
      </c>
      <c r="D218" s="12" t="str">
        <f ca="1">IFERROR(__xludf.DUMMYFUNCTION("GOOGLETRANSLATE(C:C, ""en"",""tr"")"),"DI-N-Hexil Adipat")</f>
        <v>DI-N-Hexil Adipat</v>
      </c>
      <c r="E218" s="7" t="s">
        <v>873</v>
      </c>
      <c r="F218" s="7" t="s">
        <v>874</v>
      </c>
      <c r="G218" s="7">
        <v>1</v>
      </c>
    </row>
    <row r="219" spans="1:7" ht="12" customHeight="1" x14ac:dyDescent="0.2">
      <c r="A219" s="4">
        <v>218</v>
      </c>
      <c r="B219" s="5" t="s">
        <v>875</v>
      </c>
      <c r="C219" s="6" t="s">
        <v>876</v>
      </c>
      <c r="D219" s="12" t="str">
        <f ca="1">IFERROR(__xludf.DUMMYFUNCTION("GOOGLETRANSLATE(C:C, ""en"",""tr"")"),"Diheksil ftalat")</f>
        <v>Diheksil ftalat</v>
      </c>
      <c r="E219" s="7" t="s">
        <v>877</v>
      </c>
      <c r="F219" s="7" t="s">
        <v>878</v>
      </c>
      <c r="G219" s="7">
        <v>2</v>
      </c>
    </row>
    <row r="220" spans="1:7" ht="12" customHeight="1" x14ac:dyDescent="0.2">
      <c r="A220" s="4">
        <v>219</v>
      </c>
      <c r="B220" s="5" t="s">
        <v>879</v>
      </c>
      <c r="C220" s="6" t="s">
        <v>880</v>
      </c>
      <c r="D220" s="12" t="str">
        <f ca="1">IFERROR(__xludf.DUMMYFUNCTION("GOOGLETRANSLATE(C:C, ""en"",""tr"")"),"Diisobütilamin")</f>
        <v>Diisobütilamin</v>
      </c>
      <c r="E220" s="7" t="s">
        <v>362</v>
      </c>
      <c r="F220" s="7" t="s">
        <v>881</v>
      </c>
      <c r="G220" s="7">
        <v>2</v>
      </c>
    </row>
    <row r="221" spans="1:7" ht="12" customHeight="1" x14ac:dyDescent="0.2">
      <c r="A221" s="4">
        <v>220</v>
      </c>
      <c r="B221" s="5" t="s">
        <v>882</v>
      </c>
      <c r="C221" s="6" t="s">
        <v>883</v>
      </c>
      <c r="D221" s="12" t="str">
        <f ca="1">IFERROR(__xludf.DUMMYFUNCTION("GOOGLETRANSLATE(C:C, ""en"",""tr"")"),"Diisobütil keton")</f>
        <v>Diisobütil keton</v>
      </c>
      <c r="E221" s="7" t="s">
        <v>884</v>
      </c>
      <c r="F221" s="7" t="s">
        <v>885</v>
      </c>
      <c r="G221" s="7">
        <v>3</v>
      </c>
    </row>
    <row r="222" spans="1:7" ht="12" customHeight="1" x14ac:dyDescent="0.2">
      <c r="A222" s="4">
        <v>221</v>
      </c>
      <c r="B222" s="5" t="s">
        <v>886</v>
      </c>
      <c r="C222" s="6" t="s">
        <v>887</v>
      </c>
      <c r="D222" s="12" t="str">
        <f ca="1">IFERROR(__xludf.DUMMYFUNCTION("GOOGLETRANSLATE(C:C, ""en"",""tr"")"),"Diisobütil ftalat")</f>
        <v>Diisobütil ftalat</v>
      </c>
      <c r="E222" s="7" t="s">
        <v>888</v>
      </c>
      <c r="F222" s="7" t="s">
        <v>889</v>
      </c>
      <c r="G222" s="7">
        <v>2</v>
      </c>
    </row>
    <row r="223" spans="1:7" ht="12" customHeight="1" x14ac:dyDescent="0.2">
      <c r="A223" s="4">
        <v>222</v>
      </c>
      <c r="B223" s="5" t="s">
        <v>890</v>
      </c>
      <c r="C223" s="6" t="s">
        <v>891</v>
      </c>
      <c r="D223" s="12" t="str">
        <f ca="1">IFERROR(__xludf.DUMMYFUNCTION("GOOGLETRANSLATE(C:C, ""en"",""tr"")"),"Diisononil adipat")</f>
        <v>Diisononil adipat</v>
      </c>
      <c r="E223" s="7" t="s">
        <v>892</v>
      </c>
      <c r="F223" s="7" t="s">
        <v>893</v>
      </c>
      <c r="G223" s="7">
        <v>2</v>
      </c>
    </row>
    <row r="224" spans="1:7" ht="12" customHeight="1" x14ac:dyDescent="0.2">
      <c r="A224" s="4">
        <v>223</v>
      </c>
      <c r="B224" s="5" t="s">
        <v>894</v>
      </c>
      <c r="C224" s="6" t="s">
        <v>895</v>
      </c>
      <c r="D224" s="12" t="str">
        <f ca="1">IFERROR(__xludf.DUMMYFUNCTION("GOOGLETRANSLATE(C:C, ""en"",""tr"")"),"Diisooctyl ftalat")</f>
        <v>Diisooctyl ftalat</v>
      </c>
      <c r="E224" s="7" t="s">
        <v>896</v>
      </c>
      <c r="F224" s="7" t="s">
        <v>897</v>
      </c>
      <c r="G224" s="7">
        <v>2</v>
      </c>
    </row>
    <row r="225" spans="1:7" ht="12" customHeight="1" x14ac:dyDescent="0.2">
      <c r="A225" s="4">
        <v>224</v>
      </c>
      <c r="B225" s="5" t="s">
        <v>898</v>
      </c>
      <c r="C225" s="6" t="s">
        <v>899</v>
      </c>
      <c r="D225" s="12" t="str">
        <f ca="1">IFERROR(__xludf.DUMMYFUNCTION("GOOGLETRANSLATE(C:C, ""en"",""tr"")"),"Diizopropilamin")</f>
        <v>Diizopropilamin</v>
      </c>
      <c r="E225" s="7" t="s">
        <v>900</v>
      </c>
      <c r="F225" s="7" t="s">
        <v>901</v>
      </c>
      <c r="G225" s="7">
        <v>3</v>
      </c>
    </row>
    <row r="226" spans="1:7" ht="12" customHeight="1" x14ac:dyDescent="0.2">
      <c r="A226" s="4">
        <v>225</v>
      </c>
      <c r="B226" s="5" t="s">
        <v>902</v>
      </c>
      <c r="C226" s="6" t="s">
        <v>903</v>
      </c>
      <c r="D226" s="12" t="str">
        <f ca="1">IFERROR(__xludf.DUMMYFUNCTION("GOOGLETRANSLATE(C:C, ""en"",""tr"")"),"Diizopropilbenzen (tüm izomerler)")</f>
        <v>Diizopropilbenzen (tüm izomerler)</v>
      </c>
      <c r="E226" s="7" t="s">
        <v>904</v>
      </c>
      <c r="F226" s="7" t="s">
        <v>905</v>
      </c>
      <c r="G226" s="7">
        <v>2</v>
      </c>
    </row>
    <row r="227" spans="1:7" ht="12" customHeight="1" x14ac:dyDescent="0.2">
      <c r="A227" s="4">
        <v>226</v>
      </c>
      <c r="B227" s="5" t="s">
        <v>906</v>
      </c>
      <c r="C227" s="6" t="s">
        <v>907</v>
      </c>
      <c r="D227" s="12" t="str">
        <f ca="1">IFERROR(__xludf.DUMMYFUNCTION("GOOGLETRANSLATE(C:C, ""en"",""tr"")"),"Diizopropilnaftalen")</f>
        <v>Diizopropilnaftalen</v>
      </c>
      <c r="E227" s="7" t="s">
        <v>908</v>
      </c>
      <c r="F227" s="7" t="s">
        <v>909</v>
      </c>
      <c r="G227" s="7">
        <v>2</v>
      </c>
    </row>
    <row r="228" spans="1:7" ht="12" customHeight="1" x14ac:dyDescent="0.2">
      <c r="A228" s="4">
        <v>227</v>
      </c>
      <c r="B228" s="5" t="s">
        <v>910</v>
      </c>
      <c r="C228" s="6" t="s">
        <v>911</v>
      </c>
      <c r="D228" s="12" t="str">
        <f ca="1">IFERROR(__xludf.DUMMYFUNCTION("GOOGLETRANSLATE(C:C, ""en"",""tr"")"),"N, n-dimetilasetamid")</f>
        <v>N, n-dimetilasetamid</v>
      </c>
      <c r="E228" s="7" t="s">
        <v>912</v>
      </c>
      <c r="F228" s="7" t="s">
        <v>913</v>
      </c>
      <c r="G228" s="7">
        <v>3</v>
      </c>
    </row>
    <row r="229" spans="1:7" ht="12" customHeight="1" x14ac:dyDescent="0.2">
      <c r="A229" s="4">
        <v>228</v>
      </c>
      <c r="B229" s="5" t="s">
        <v>914</v>
      </c>
      <c r="C229" s="6" t="s">
        <v>915</v>
      </c>
      <c r="D229" s="12" t="str">
        <f ca="1">IFERROR(__xludf.DUMMYFUNCTION("GOOGLETRANSLATE(C:C, ""en"",""tr"")"),"N, n-dimetilasetamid çözeltisi (%40 veya daha az)")</f>
        <v>N, n-dimetilasetamid çözeltisi (%40 veya daha az)</v>
      </c>
      <c r="E229" s="7" t="s">
        <v>916</v>
      </c>
      <c r="F229" s="7" t="s">
        <v>917</v>
      </c>
      <c r="G229" s="7">
        <v>3</v>
      </c>
    </row>
    <row r="230" spans="1:7" ht="12" customHeight="1" x14ac:dyDescent="0.2">
      <c r="A230" s="4">
        <v>229</v>
      </c>
      <c r="B230" s="5" t="s">
        <v>918</v>
      </c>
      <c r="C230" s="6" t="s">
        <v>919</v>
      </c>
      <c r="D230" s="12" t="str">
        <f ca="1">IFERROR(__xludf.DUMMYFUNCTION("GOOGLETRANSLATE(C:C, ""en"",""tr"")"),"Dimetilamin çözeltisi (%45 veya daha az)")</f>
        <v>Dimetilamin çözeltisi (%45 veya daha az)</v>
      </c>
      <c r="E230" s="7" t="s">
        <v>920</v>
      </c>
      <c r="F230" s="7" t="s">
        <v>921</v>
      </c>
      <c r="G230" s="7">
        <v>3</v>
      </c>
    </row>
    <row r="231" spans="1:7" ht="12" customHeight="1" x14ac:dyDescent="0.2">
      <c r="A231" s="4">
        <v>230</v>
      </c>
      <c r="B231" s="5" t="s">
        <v>922</v>
      </c>
      <c r="C231" s="6" t="s">
        <v>923</v>
      </c>
      <c r="D231" s="12" t="str">
        <f ca="1">IFERROR(__xludf.DUMMYFUNCTION("GOOGLETRANSLATE(C:C, ""en"",""tr"")"),"Dimetilamin çözeltisi (%45'ten büyük ancak %55'ten büyük değil)")</f>
        <v>Dimetilamin çözeltisi (%45'ten büyük ancak %55'ten büyük değil)</v>
      </c>
      <c r="E231" s="7" t="s">
        <v>924</v>
      </c>
      <c r="F231" s="7" t="s">
        <v>925</v>
      </c>
      <c r="G231" s="7">
        <v>3</v>
      </c>
    </row>
    <row r="232" spans="1:7" ht="12" customHeight="1" x14ac:dyDescent="0.2">
      <c r="A232" s="4">
        <v>231</v>
      </c>
      <c r="B232" s="5" t="s">
        <v>926</v>
      </c>
      <c r="C232" s="6" t="s">
        <v>927</v>
      </c>
      <c r="D232" s="12" t="str">
        <f ca="1">IFERROR(__xludf.DUMMYFUNCTION("GOOGLETRANSLATE(C:C, ""en"",""tr"")"),"Dimetilamin çözeltisi (%55'ten büyük ancak %65'ten büyük değil)")</f>
        <v>Dimetilamin çözeltisi (%55'ten büyük ancak %65'ten büyük değil)</v>
      </c>
      <c r="E232" s="7" t="s">
        <v>928</v>
      </c>
      <c r="F232" s="7" t="s">
        <v>929</v>
      </c>
      <c r="G232" s="7">
        <v>3</v>
      </c>
    </row>
    <row r="233" spans="1:7" ht="12" customHeight="1" x14ac:dyDescent="0.2">
      <c r="A233" s="4">
        <v>232</v>
      </c>
      <c r="B233" s="5" t="s">
        <v>930</v>
      </c>
      <c r="C233" s="6" t="s">
        <v>931</v>
      </c>
      <c r="D233" s="12" t="str">
        <f ca="1">IFERROR(__xludf.DUMMYFUNCTION("GOOGLETRANSLATE(C:C, ""en"",""tr"")"),"N, n-dimetilsikloheksilamin")</f>
        <v>N, n-dimetilsikloheksilamin</v>
      </c>
      <c r="E233" s="7" t="s">
        <v>932</v>
      </c>
      <c r="F233" s="7" t="s">
        <v>933</v>
      </c>
      <c r="G233" s="7">
        <v>2</v>
      </c>
    </row>
    <row r="234" spans="1:7" ht="12" customHeight="1" x14ac:dyDescent="0.2">
      <c r="A234" s="4">
        <v>233</v>
      </c>
      <c r="B234" s="5" t="s">
        <v>934</v>
      </c>
      <c r="C234" s="6" t="s">
        <v>935</v>
      </c>
      <c r="D234" s="12" t="str">
        <f ca="1">IFERROR(__xludf.DUMMYFUNCTION("GOOGLETRANSLATE(C:C, ""en"",""tr"")"),"Dimetil disülfür")</f>
        <v>Dimetil disülfür</v>
      </c>
      <c r="E234" s="7" t="s">
        <v>936</v>
      </c>
      <c r="F234" s="7" t="s">
        <v>937</v>
      </c>
      <c r="G234" s="7">
        <v>2</v>
      </c>
    </row>
    <row r="235" spans="1:7" ht="12" customHeight="1" x14ac:dyDescent="0.2">
      <c r="A235" s="4">
        <v>234</v>
      </c>
      <c r="B235" s="5" t="s">
        <v>938</v>
      </c>
      <c r="C235" s="6" t="s">
        <v>939</v>
      </c>
      <c r="D235" s="12" t="str">
        <f ca="1">IFERROR(__xludf.DUMMYFUNCTION("GOOGLETRANSLATE(C:C, ""en"",""tr"")"),"N, n-dimetildodecilamin")</f>
        <v>N, n-dimetildodecilamin</v>
      </c>
      <c r="E235" s="7" t="s">
        <v>940</v>
      </c>
      <c r="F235" s="7" t="s">
        <v>941</v>
      </c>
      <c r="G235" s="7">
        <v>2</v>
      </c>
    </row>
    <row r="236" spans="1:7" ht="12" customHeight="1" x14ac:dyDescent="0.2">
      <c r="A236" s="4">
        <v>235</v>
      </c>
      <c r="B236" s="5" t="s">
        <v>942</v>
      </c>
      <c r="C236" s="6" t="s">
        <v>943</v>
      </c>
      <c r="D236" s="12" t="str">
        <f ca="1">IFERROR(__xludf.DUMMYFUNCTION("GOOGLETRANSLATE(C:C, ""en"",""tr"")"),"Dimetiletanolamin")</f>
        <v>Dimetiletanolamin</v>
      </c>
      <c r="E236" s="7" t="s">
        <v>944</v>
      </c>
      <c r="F236" s="7" t="s">
        <v>945</v>
      </c>
      <c r="G236" s="7">
        <v>3</v>
      </c>
    </row>
    <row r="237" spans="1:7" ht="12" customHeight="1" x14ac:dyDescent="0.2">
      <c r="A237" s="4">
        <v>236</v>
      </c>
      <c r="B237" s="5" t="s">
        <v>946</v>
      </c>
      <c r="C237" s="6" t="s">
        <v>947</v>
      </c>
      <c r="D237" s="12" t="str">
        <f ca="1">IFERROR(__xludf.DUMMYFUNCTION("GOOGLETRANSLATE(C:C, ""en"",""tr"")"),"Dimetilformamid")</f>
        <v>Dimetilformamid</v>
      </c>
      <c r="E237" s="7" t="s">
        <v>948</v>
      </c>
      <c r="F237" s="7" t="s">
        <v>949</v>
      </c>
      <c r="G237" s="7">
        <v>3</v>
      </c>
    </row>
    <row r="238" spans="1:7" ht="12" customHeight="1" x14ac:dyDescent="0.2">
      <c r="A238" s="4">
        <v>237</v>
      </c>
      <c r="B238" s="5" t="s">
        <v>950</v>
      </c>
      <c r="C238" s="6" t="s">
        <v>951</v>
      </c>
      <c r="D238" s="12" t="str">
        <f ca="1">IFERROR(__xludf.DUMMYFUNCTION("GOOGLETRANSLATE(C:C, ""en"",""tr"")"),"Dimetil glutarat")</f>
        <v>Dimetil glutarat</v>
      </c>
      <c r="E238" s="7" t="s">
        <v>952</v>
      </c>
      <c r="F238" s="7" t="s">
        <v>953</v>
      </c>
      <c r="G238" s="7">
        <v>3</v>
      </c>
    </row>
    <row r="239" spans="1:7" ht="12" customHeight="1" x14ac:dyDescent="0.2">
      <c r="A239" s="4">
        <v>238</v>
      </c>
      <c r="B239" s="5" t="s">
        <v>954</v>
      </c>
      <c r="C239" s="6" t="s">
        <v>955</v>
      </c>
      <c r="D239" s="12" t="str">
        <f ca="1">IFERROR(__xludf.DUMMYFUNCTION("GOOGLETRANSLATE(C:C, ""en"",""tr"")"),"Dimetil hidrojen fosfit")</f>
        <v>Dimetil hidrojen fosfit</v>
      </c>
      <c r="E239" s="7" t="s">
        <v>956</v>
      </c>
      <c r="F239" s="7" t="s">
        <v>957</v>
      </c>
      <c r="G239" s="7">
        <v>3</v>
      </c>
    </row>
    <row r="240" spans="1:7" ht="12" customHeight="1" x14ac:dyDescent="0.2">
      <c r="A240" s="4">
        <v>239</v>
      </c>
      <c r="B240" s="5" t="s">
        <v>958</v>
      </c>
      <c r="C240" s="6" t="s">
        <v>959</v>
      </c>
      <c r="D240" s="12" t="str">
        <f ca="1">IFERROR(__xludf.DUMMYFUNCTION("GOOGLETRANSLATE(C:C, ""en"",""tr"")"),"Dimetil oktanoik asit")</f>
        <v>Dimetil oktanoik asit</v>
      </c>
      <c r="E240" s="7" t="s">
        <v>960</v>
      </c>
      <c r="F240" s="7" t="s">
        <v>961</v>
      </c>
      <c r="G240" s="7">
        <v>2</v>
      </c>
    </row>
    <row r="241" spans="1:7" ht="12" customHeight="1" x14ac:dyDescent="0.2">
      <c r="A241" s="4">
        <v>240</v>
      </c>
      <c r="B241" s="5" t="s">
        <v>962</v>
      </c>
      <c r="C241" s="6" t="s">
        <v>963</v>
      </c>
      <c r="D241" s="12" t="str">
        <f ca="1">IFERROR(__xludf.DUMMYFUNCTION("GOOGLETRANSLATE(C:C, ""en"",""tr"")"),"Dimetil ftalat")</f>
        <v>Dimetil ftalat</v>
      </c>
      <c r="E241" s="7" t="s">
        <v>964</v>
      </c>
      <c r="F241" s="7" t="s">
        <v>965</v>
      </c>
      <c r="G241" s="7">
        <v>3</v>
      </c>
    </row>
    <row r="242" spans="1:7" ht="12" customHeight="1" x14ac:dyDescent="0.2">
      <c r="A242" s="4">
        <v>241</v>
      </c>
      <c r="B242" s="5" t="s">
        <v>966</v>
      </c>
      <c r="C242" s="6" t="s">
        <v>967</v>
      </c>
      <c r="D242" s="12" t="str">
        <f ca="1">IFERROR(__xludf.DUMMYFUNCTION("GOOGLETRANSLATE(C:C, ""en"",""tr"")"),"Dinitrotoluene (Erimiş)")</f>
        <v>Dinitrotoluene (Erimiş)</v>
      </c>
      <c r="E242" s="7" t="s">
        <v>968</v>
      </c>
      <c r="F242" s="7" t="s">
        <v>969</v>
      </c>
      <c r="G242" s="7">
        <v>2</v>
      </c>
    </row>
    <row r="243" spans="1:7" ht="12" customHeight="1" x14ac:dyDescent="0.2">
      <c r="A243" s="4">
        <v>242</v>
      </c>
      <c r="B243" s="5" t="s">
        <v>970</v>
      </c>
      <c r="C243" s="6" t="s">
        <v>971</v>
      </c>
      <c r="D243" s="12" t="str">
        <f ca="1">IFERROR(__xludf.DUMMYFUNCTION("GOOGLETRANSLATE(C:C, ""en"",""tr"")"),"Dinonil ftalat")</f>
        <v>Dinonil ftalat</v>
      </c>
      <c r="E243" s="7" t="s">
        <v>972</v>
      </c>
      <c r="F243" s="7" t="s">
        <v>973</v>
      </c>
      <c r="G243" s="7">
        <v>2</v>
      </c>
    </row>
    <row r="244" spans="1:7" ht="12" customHeight="1" x14ac:dyDescent="0.2">
      <c r="A244" s="4">
        <v>243</v>
      </c>
      <c r="B244" s="5" t="s">
        <v>974</v>
      </c>
      <c r="C244" s="6" t="s">
        <v>975</v>
      </c>
      <c r="D244" s="12" t="str">
        <f ca="1">IFERROR(__xludf.DUMMYFUNCTION("GOOGLETRANSLATE(C:C, ""en"",""tr"")"),"Dioctyl ftalat")</f>
        <v>Dioctyl ftalat</v>
      </c>
      <c r="E244" s="7" t="s">
        <v>976</v>
      </c>
      <c r="F244" s="7" t="s">
        <v>977</v>
      </c>
      <c r="G244" s="7">
        <v>2</v>
      </c>
    </row>
    <row r="245" spans="1:7" ht="12" customHeight="1" x14ac:dyDescent="0.2">
      <c r="A245" s="4">
        <v>244</v>
      </c>
      <c r="B245" s="5" t="s">
        <v>978</v>
      </c>
      <c r="C245" s="6" t="s">
        <v>979</v>
      </c>
      <c r="D245" s="12" t="str">
        <f ca="1">IFERROR(__xludf.DUMMYFUNCTION("GOOGLETRANSLATE(C:C, ""en"",""tr"")"),"1,4-dioksan")</f>
        <v>1,4-dioksan</v>
      </c>
      <c r="E245" s="7" t="s">
        <v>980</v>
      </c>
      <c r="F245" s="7" t="s">
        <v>981</v>
      </c>
      <c r="G245" s="7">
        <v>3</v>
      </c>
    </row>
    <row r="246" spans="1:7" ht="12" customHeight="1" x14ac:dyDescent="0.2">
      <c r="A246" s="4">
        <v>245</v>
      </c>
      <c r="B246" s="5" t="s">
        <v>982</v>
      </c>
      <c r="C246" s="6" t="s">
        <v>983</v>
      </c>
      <c r="D246" s="12" t="str">
        <f ca="1">IFERROR(__xludf.DUMMYFUNCTION("GOOGLETRANSLATE(C:C, ""en"",""tr"")"),"Dipenten")</f>
        <v>Dipenten</v>
      </c>
      <c r="E246" s="7" t="s">
        <v>984</v>
      </c>
      <c r="F246" s="7" t="s">
        <v>985</v>
      </c>
      <c r="G246" s="7">
        <v>2</v>
      </c>
    </row>
    <row r="247" spans="1:7" ht="12" customHeight="1" x14ac:dyDescent="0.2">
      <c r="A247" s="4">
        <v>246</v>
      </c>
      <c r="B247" s="5" t="s">
        <v>986</v>
      </c>
      <c r="C247" s="6" t="s">
        <v>987</v>
      </c>
      <c r="D247" s="12" t="str">
        <f ca="1">IFERROR(__xludf.DUMMYFUNCTION("GOOGLETRANSLATE(C:C, ""en"",""tr"")"),"Difenil")</f>
        <v>Difenil</v>
      </c>
      <c r="E247" s="7" t="s">
        <v>988</v>
      </c>
      <c r="F247" s="7" t="s">
        <v>989</v>
      </c>
      <c r="G247" s="7">
        <v>2</v>
      </c>
    </row>
    <row r="248" spans="1:7" ht="12" customHeight="1" x14ac:dyDescent="0.2">
      <c r="A248" s="4">
        <v>247</v>
      </c>
      <c r="B248" s="5" t="s">
        <v>990</v>
      </c>
      <c r="C248" s="6" t="s">
        <v>991</v>
      </c>
      <c r="D248" s="12" t="str">
        <f ca="1">IFERROR(__xludf.DUMMYFUNCTION("GOOGLETRANSLATE(C:C, ""en"",""tr"")"),"Difenilamin (erimiş)")</f>
        <v>Difenilamin (erimiş)</v>
      </c>
      <c r="E248" s="7" t="s">
        <v>992</v>
      </c>
      <c r="F248" s="7" t="s">
        <v>993</v>
      </c>
      <c r="G248" s="7">
        <v>2</v>
      </c>
    </row>
    <row r="249" spans="1:7" ht="12" customHeight="1" x14ac:dyDescent="0.2">
      <c r="A249" s="4">
        <v>248</v>
      </c>
      <c r="B249" s="5" t="s">
        <v>994</v>
      </c>
      <c r="C249" s="6" t="s">
        <v>995</v>
      </c>
      <c r="D249" s="12" t="str">
        <f ca="1">IFERROR(__xludf.DUMMYFUNCTION("GOOGLETRANSLATE(C:C, ""en"",""tr"")"),"Difenilamin, 2,2,4- trimetilpenten ile reaksiyon ürünü")</f>
        <v>Difenilamin, 2,2,4- trimetilpenten ile reaksiyon ürünü</v>
      </c>
      <c r="E249" s="7" t="s">
        <v>996</v>
      </c>
      <c r="F249" s="7" t="s">
        <v>997</v>
      </c>
      <c r="G249" s="7">
        <v>2</v>
      </c>
    </row>
    <row r="250" spans="1:7" ht="12" customHeight="1" x14ac:dyDescent="0.2">
      <c r="A250" s="4">
        <v>249</v>
      </c>
      <c r="B250" s="5" t="s">
        <v>998</v>
      </c>
      <c r="C250" s="6" t="s">
        <v>999</v>
      </c>
      <c r="D250" s="12" t="str">
        <f ca="1">IFERROR(__xludf.DUMMYFUNCTION("GOOGLETRANSLATE(C:C, ""en"",""tr"")"),"Difenilaminler, alkillenmiş")</f>
        <v>Difenilaminler, alkillenmiş</v>
      </c>
      <c r="E250" s="7" t="s">
        <v>1000</v>
      </c>
      <c r="F250" s="7" t="s">
        <v>1001</v>
      </c>
      <c r="G250" s="7">
        <v>2</v>
      </c>
    </row>
    <row r="251" spans="1:7" ht="12" customHeight="1" x14ac:dyDescent="0.2">
      <c r="A251" s="4">
        <v>250</v>
      </c>
      <c r="B251" s="5" t="s">
        <v>1002</v>
      </c>
      <c r="C251" s="6" t="s">
        <v>1003</v>
      </c>
      <c r="D251" s="12" t="str">
        <f ca="1">IFERROR(__xludf.DUMMYFUNCTION("GOOGLETRANSLATE(C:C, ""en"",""tr"")"),"Difenil / difenil eter karışımları")</f>
        <v>Difenil / difenil eter karışımları</v>
      </c>
      <c r="E251" s="7" t="s">
        <v>1004</v>
      </c>
      <c r="F251" s="7" t="s">
        <v>1005</v>
      </c>
      <c r="G251" s="7">
        <v>2</v>
      </c>
    </row>
    <row r="252" spans="1:7" ht="12" customHeight="1" x14ac:dyDescent="0.2">
      <c r="A252" s="4">
        <v>251</v>
      </c>
      <c r="B252" s="5" t="s">
        <v>1006</v>
      </c>
      <c r="C252" s="6" t="s">
        <v>1007</v>
      </c>
      <c r="D252" s="12" t="str">
        <f ca="1">IFERROR(__xludf.DUMMYFUNCTION("GOOGLETRANSLATE(C:C, ""en"",""tr"")"),"Difenilmetan diisosiyanat")</f>
        <v>Difenilmetan diisosiyanat</v>
      </c>
      <c r="E252" s="7" t="s">
        <v>1008</v>
      </c>
      <c r="F252" s="7" t="s">
        <v>1009</v>
      </c>
      <c r="G252" s="7">
        <v>2</v>
      </c>
    </row>
    <row r="253" spans="1:7" ht="12" customHeight="1" x14ac:dyDescent="0.2">
      <c r="A253" s="4">
        <v>252</v>
      </c>
      <c r="B253" s="5" t="s">
        <v>1010</v>
      </c>
      <c r="C253" s="6" t="s">
        <v>1011</v>
      </c>
      <c r="D253" s="12" t="str">
        <f ca="1">IFERROR(__xludf.DUMMYFUNCTION("GOOGLETRANSLATE(C:C, ""en"",""tr"")"),"Difenilol propan-epiclorohidrin reçineleri")</f>
        <v>Difenilol propan-epiclorohidrin reçineleri</v>
      </c>
      <c r="E253" s="7" t="s">
        <v>1012</v>
      </c>
      <c r="F253" s="7" t="s">
        <v>1013</v>
      </c>
      <c r="G253" s="7">
        <v>2</v>
      </c>
    </row>
    <row r="254" spans="1:7" ht="12" customHeight="1" x14ac:dyDescent="0.2">
      <c r="A254" s="4">
        <v>253</v>
      </c>
      <c r="B254" s="5" t="s">
        <v>1014</v>
      </c>
      <c r="C254" s="6" t="s">
        <v>1015</v>
      </c>
      <c r="D254" s="12" t="str">
        <f ca="1">IFERROR(__xludf.DUMMYFUNCTION("GOOGLETRANSLATE(C:C, ""en"",""tr"")"),"Di-n-propilamin")</f>
        <v>Di-n-propilamin</v>
      </c>
      <c r="E254" s="7" t="s">
        <v>1016</v>
      </c>
      <c r="F254" s="7" t="s">
        <v>1017</v>
      </c>
      <c r="G254" s="7">
        <v>2</v>
      </c>
    </row>
    <row r="255" spans="1:7" ht="12" customHeight="1" x14ac:dyDescent="0.2">
      <c r="A255" s="4">
        <v>254</v>
      </c>
      <c r="B255" s="5" t="s">
        <v>1018</v>
      </c>
      <c r="C255" s="6" t="s">
        <v>1019</v>
      </c>
      <c r="D255" s="12" t="str">
        <f ca="1">IFERROR(__xludf.DUMMYFUNCTION("GOOGLETRANSLATE(C:C, ""en"",""tr"")"),"Ditiocarbamate ester (C7-C35)")</f>
        <v>Ditiocarbamate ester (C7-C35)</v>
      </c>
      <c r="E255" s="7" t="s">
        <v>1020</v>
      </c>
      <c r="F255" s="7" t="s">
        <v>1021</v>
      </c>
      <c r="G255" s="7">
        <v>2</v>
      </c>
    </row>
    <row r="256" spans="1:7" ht="12" customHeight="1" x14ac:dyDescent="0.2">
      <c r="A256" s="4">
        <v>255</v>
      </c>
      <c r="B256" s="5" t="s">
        <v>1022</v>
      </c>
      <c r="C256" s="6" t="s">
        <v>1023</v>
      </c>
      <c r="D256" s="12" t="str">
        <f ca="1">IFERROR(__xludf.DUMMYFUNCTION("GOOGLETRANSLATE(C:C, ""en"",""tr"")"),"Ditridecil adipat")</f>
        <v>Ditridecil adipat</v>
      </c>
      <c r="E256" s="7" t="s">
        <v>1024</v>
      </c>
      <c r="F256" s="7" t="s">
        <v>1025</v>
      </c>
      <c r="G256" s="7">
        <v>2</v>
      </c>
    </row>
    <row r="257" spans="1:7" ht="12" customHeight="1" x14ac:dyDescent="0.2">
      <c r="A257" s="4">
        <v>256</v>
      </c>
      <c r="B257" s="5" t="s">
        <v>1026</v>
      </c>
      <c r="C257" s="6" t="s">
        <v>1027</v>
      </c>
      <c r="D257" s="12" t="str">
        <f ca="1">IFERROR(__xludf.DUMMYFUNCTION("GOOGLETRANSLATE(C:C, ""en"",""tr"")"),"Ditridekil ftalat")</f>
        <v>Ditridekil ftalat</v>
      </c>
      <c r="E257" s="7" t="s">
        <v>1028</v>
      </c>
      <c r="F257" s="7" t="s">
        <v>1029</v>
      </c>
      <c r="G257" s="7">
        <v>2</v>
      </c>
    </row>
    <row r="258" spans="1:7" ht="12" customHeight="1" x14ac:dyDescent="0.2">
      <c r="A258" s="4">
        <v>257</v>
      </c>
      <c r="B258" s="5" t="s">
        <v>1030</v>
      </c>
      <c r="C258" s="6" t="s">
        <v>1031</v>
      </c>
      <c r="D258" s="12" t="str">
        <f ca="1">IFERROR(__xludf.DUMMYFUNCTION("GOOGLETRANSLATE(C:C, ""en"",""tr"")"),"Diundekil ftalat")</f>
        <v>Diundekil ftalat</v>
      </c>
      <c r="E258" s="7" t="s">
        <v>1032</v>
      </c>
      <c r="F258" s="7" t="s">
        <v>1033</v>
      </c>
      <c r="G258" s="7">
        <v>2</v>
      </c>
    </row>
    <row r="259" spans="1:7" ht="12" customHeight="1" x14ac:dyDescent="0.2">
      <c r="A259" s="4">
        <v>258</v>
      </c>
      <c r="B259" s="5" t="s">
        <v>1034</v>
      </c>
      <c r="C259" s="6" t="s">
        <v>1035</v>
      </c>
      <c r="D259" s="12" t="str">
        <f ca="1">IFERROR(__xludf.DUMMYFUNCTION("GOOGLETRANSLATE(C:C, ""en"",""tr"")"),"Dodekan (tüm izomerler)")</f>
        <v>Dodekan (tüm izomerler)</v>
      </c>
      <c r="E259" s="7" t="s">
        <v>1036</v>
      </c>
      <c r="F259" s="7" t="s">
        <v>1037</v>
      </c>
      <c r="G259" s="7">
        <v>2</v>
      </c>
    </row>
    <row r="260" spans="1:7" ht="12" customHeight="1" x14ac:dyDescent="0.2">
      <c r="A260" s="4">
        <v>259</v>
      </c>
      <c r="B260" s="5" t="s">
        <v>1038</v>
      </c>
      <c r="C260" s="6" t="s">
        <v>1039</v>
      </c>
      <c r="D260" s="12" t="str">
        <f ca="1">IFERROR(__xludf.DUMMYFUNCTION("GOOGLETRANSLATE(C:C, ""en"",""tr"")"),"Tert-dodekanethiol")</f>
        <v>Tert-dodekanethiol</v>
      </c>
      <c r="E260" s="7" t="s">
        <v>1040</v>
      </c>
      <c r="F260" s="7" t="s">
        <v>1041</v>
      </c>
      <c r="G260" s="7">
        <v>3</v>
      </c>
    </row>
    <row r="261" spans="1:7" ht="12" customHeight="1" x14ac:dyDescent="0.2">
      <c r="A261" s="4">
        <v>260</v>
      </c>
      <c r="B261" s="5" t="s">
        <v>1042</v>
      </c>
      <c r="C261" s="6" t="s">
        <v>1043</v>
      </c>
      <c r="D261" s="12" t="str">
        <f ca="1">IFERROR(__xludf.DUMMYFUNCTION("GOOGLETRANSLATE(C:C, ""en"",""tr"")"),"Dodesene (tüm izomerler)")</f>
        <v>Dodesene (tüm izomerler)</v>
      </c>
      <c r="E261" s="7" t="s">
        <v>1044</v>
      </c>
      <c r="F261" s="7" t="s">
        <v>1045</v>
      </c>
      <c r="G261" s="7">
        <v>2</v>
      </c>
    </row>
    <row r="262" spans="1:7" ht="12" customHeight="1" x14ac:dyDescent="0.2">
      <c r="A262" s="4">
        <v>261</v>
      </c>
      <c r="B262" s="5" t="s">
        <v>1046</v>
      </c>
      <c r="C262" s="6" t="s">
        <v>1047</v>
      </c>
      <c r="D262" s="12" t="str">
        <f ca="1">IFERROR(__xludf.DUMMYFUNCTION("GOOGLETRANSLATE(C:C, ""en"",""tr"")"),"1-dodesen")</f>
        <v>1-dodesen</v>
      </c>
      <c r="E262" s="7" t="s">
        <v>1048</v>
      </c>
      <c r="F262" s="7" t="s">
        <v>1049</v>
      </c>
      <c r="G262" s="7">
        <v>3</v>
      </c>
    </row>
    <row r="263" spans="1:7" ht="12" customHeight="1" x14ac:dyDescent="0.2">
      <c r="A263" s="4">
        <v>262</v>
      </c>
      <c r="B263" s="5" t="s">
        <v>1050</v>
      </c>
      <c r="C263" s="6" t="s">
        <v>1051</v>
      </c>
      <c r="D263" s="12" t="str">
        <f ca="1">IFERROR(__xludf.DUMMYFUNCTION("GOOGLETRANSLATE(C:C, ""en"",""tr"")"),"Dodesil alkol")</f>
        <v>Dodesil alkol</v>
      </c>
      <c r="E263" s="7" t="s">
        <v>1052</v>
      </c>
      <c r="F263" s="7" t="s">
        <v>1053</v>
      </c>
      <c r="G263" s="7">
        <v>2</v>
      </c>
    </row>
    <row r="264" spans="1:7" ht="12" customHeight="1" x14ac:dyDescent="0.2">
      <c r="A264" s="4">
        <v>263</v>
      </c>
      <c r="B264" s="5" t="s">
        <v>1054</v>
      </c>
      <c r="C264" s="6" t="s">
        <v>1055</v>
      </c>
      <c r="D264" s="12" t="str">
        <f ca="1">IFERROR(__xludf.DUMMYFUNCTION("GOOGLETRANSLATE(C:C, ""en"",""tr"")"),"Dodesilamin / tetradesilamin karışımı")</f>
        <v>Dodesilamin / tetradesilamin karışımı</v>
      </c>
      <c r="E264" s="7" t="s">
        <v>1056</v>
      </c>
      <c r="F264" s="7" t="s">
        <v>1057</v>
      </c>
      <c r="G264" s="7">
        <v>2</v>
      </c>
    </row>
    <row r="265" spans="1:7" ht="12" customHeight="1" x14ac:dyDescent="0.2">
      <c r="A265" s="4">
        <v>264</v>
      </c>
      <c r="B265" s="5" t="s">
        <v>1058</v>
      </c>
      <c r="C265" s="6" t="s">
        <v>1059</v>
      </c>
      <c r="D265" s="12" t="str">
        <f ca="1">IFERROR(__xludf.DUMMYFUNCTION("GOOGLETRANSLATE(C:C, ""en"",""tr"")"),"Dodesilbenzen")</f>
        <v>Dodesilbenzen</v>
      </c>
      <c r="E265" s="7" t="s">
        <v>1060</v>
      </c>
      <c r="F265" s="7" t="s">
        <v>1061</v>
      </c>
      <c r="G265" s="7">
        <v>2</v>
      </c>
    </row>
    <row r="266" spans="1:7" ht="12" customHeight="1" x14ac:dyDescent="0.2">
      <c r="A266" s="4">
        <v>265</v>
      </c>
      <c r="B266" s="5" t="s">
        <v>1062</v>
      </c>
      <c r="C266" s="6" t="s">
        <v>1063</v>
      </c>
      <c r="D266" s="12" t="str">
        <f ca="1">IFERROR(__xludf.DUMMYFUNCTION("GOOGLETRANSLATE(C:C, ""en"",""tr"")"),"Dodesil difenil eter disülfonat çözeltisi")</f>
        <v>Dodesil difenil eter disülfonat çözeltisi</v>
      </c>
      <c r="E266" s="7" t="s">
        <v>1064</v>
      </c>
      <c r="F266" s="7" t="s">
        <v>1065</v>
      </c>
      <c r="G266" s="7">
        <v>2</v>
      </c>
    </row>
    <row r="267" spans="1:7" ht="12" customHeight="1" x14ac:dyDescent="0.2">
      <c r="A267" s="4">
        <v>266</v>
      </c>
      <c r="B267" s="5" t="s">
        <v>1066</v>
      </c>
      <c r="C267" s="6" t="s">
        <v>1067</v>
      </c>
      <c r="D267" s="12" t="str">
        <f ca="1">IFERROR(__xludf.DUMMYFUNCTION("GOOGLETRANSLATE(C:C, ""en"",""tr"")"),"N-dodesil merkaptan")</f>
        <v>N-dodesil merkaptan</v>
      </c>
      <c r="E267" s="7" t="s">
        <v>1068</v>
      </c>
      <c r="F267" s="7" t="s">
        <v>1069</v>
      </c>
      <c r="G267" s="7">
        <v>1</v>
      </c>
    </row>
    <row r="268" spans="1:7" ht="12" customHeight="1" x14ac:dyDescent="0.2">
      <c r="A268" s="4">
        <v>267</v>
      </c>
      <c r="B268" s="5" t="s">
        <v>1070</v>
      </c>
      <c r="C268" s="6" t="s">
        <v>1071</v>
      </c>
      <c r="D268" s="12" t="str">
        <f ca="1">IFERROR(__xludf.DUMMYFUNCTION("GOOGLETRANSLATE(C:C, ""en"",""tr"")"),"Dodesil metakrilat")</f>
        <v>Dodesil metakrilat</v>
      </c>
      <c r="E268" s="7" t="s">
        <v>1072</v>
      </c>
      <c r="F268" s="7" t="s">
        <v>1073</v>
      </c>
      <c r="G268" s="7">
        <v>3</v>
      </c>
    </row>
    <row r="269" spans="1:7" ht="12" customHeight="1" x14ac:dyDescent="0.2">
      <c r="A269" s="4">
        <v>268</v>
      </c>
      <c r="B269" s="5" t="s">
        <v>1074</v>
      </c>
      <c r="C269" s="6" t="s">
        <v>1075</v>
      </c>
      <c r="D269" s="12" t="str">
        <f ca="1">IFERROR(__xludf.DUMMYFUNCTION("GOOGLETRANSLATE(C:C, ""en"",""tr"")"),"Dodesil / oktadesil metakrilat karışımı")</f>
        <v>Dodesil / oktadesil metakrilat karışımı</v>
      </c>
      <c r="E269" s="7" t="s">
        <v>1076</v>
      </c>
      <c r="F269" s="7" t="s">
        <v>1077</v>
      </c>
      <c r="G269" s="7">
        <v>2</v>
      </c>
    </row>
    <row r="270" spans="1:7" ht="12" customHeight="1" x14ac:dyDescent="0.2">
      <c r="A270" s="4">
        <v>269</v>
      </c>
      <c r="B270" s="5" t="s">
        <v>1078</v>
      </c>
      <c r="C270" s="6" t="s">
        <v>1079</v>
      </c>
      <c r="D270" s="12" t="str">
        <f ca="1">IFERROR(__xludf.DUMMYFUNCTION("GOOGLETRANSLATE(C:C, ""en"",""tr"")"),"Dodesil / pentadesil metakrilat karışımı")</f>
        <v>Dodesil / pentadesil metakrilat karışımı</v>
      </c>
      <c r="E270" s="7" t="s">
        <v>1080</v>
      </c>
      <c r="F270" s="7" t="s">
        <v>1081</v>
      </c>
      <c r="G270" s="7">
        <v>2</v>
      </c>
    </row>
    <row r="271" spans="1:7" ht="12" customHeight="1" x14ac:dyDescent="0.2">
      <c r="A271" s="4">
        <v>270</v>
      </c>
      <c r="B271" s="5" t="s">
        <v>1082</v>
      </c>
      <c r="C271" s="6" t="s">
        <v>1083</v>
      </c>
      <c r="D271" s="12" t="str">
        <f ca="1">IFERROR(__xludf.DUMMYFUNCTION("GOOGLETRANSLATE(C:C, ""en"",""tr"")"),"Dodesil fenol")</f>
        <v>Dodesil fenol</v>
      </c>
      <c r="E271" s="7" t="s">
        <v>1084</v>
      </c>
      <c r="F271" s="7" t="s">
        <v>1085</v>
      </c>
      <c r="G271" s="7">
        <v>2</v>
      </c>
    </row>
    <row r="272" spans="1:7" ht="12" customHeight="1" x14ac:dyDescent="0.2">
      <c r="A272" s="4">
        <v>271</v>
      </c>
      <c r="B272" s="5" t="s">
        <v>1086</v>
      </c>
      <c r="C272" s="6" t="s">
        <v>1087</v>
      </c>
      <c r="D272" s="12" t="str">
        <f ca="1">IFERROR(__xludf.DUMMYFUNCTION("GOOGLETRANSLATE(C:C, ""en"",""tr"")"),"Dodesil ksilen")</f>
        <v>Dodesil ksilen</v>
      </c>
      <c r="E272" s="7" t="s">
        <v>1088</v>
      </c>
      <c r="F272" s="7" t="s">
        <v>1089</v>
      </c>
      <c r="G272" s="7">
        <v>2</v>
      </c>
    </row>
    <row r="273" spans="1:7" ht="12" customHeight="1" x14ac:dyDescent="0.2">
      <c r="A273" s="4">
        <v>272</v>
      </c>
      <c r="B273" s="5" t="s">
        <v>1090</v>
      </c>
      <c r="C273" s="6" t="s">
        <v>1091</v>
      </c>
      <c r="D273" s="12" t="str">
        <f ca="1">IFERROR(__xludf.DUMMYFUNCTION("GOOGLETRANSLATE(C:C, ""en"",""tr"")"),"Tuzlu su sondajları (kalsiyum bromür içeren)")</f>
        <v>Tuzlu su sondajları (kalsiyum bromür içeren)</v>
      </c>
      <c r="E273" s="7" t="s">
        <v>1092</v>
      </c>
      <c r="F273" s="7" t="s">
        <v>1093</v>
      </c>
      <c r="G273" s="7">
        <v>3</v>
      </c>
    </row>
    <row r="274" spans="1:7" ht="12" customHeight="1" x14ac:dyDescent="0.2">
      <c r="A274" s="4">
        <v>273</v>
      </c>
      <c r="B274" s="5" t="s">
        <v>1094</v>
      </c>
      <c r="C274" s="6" t="s">
        <v>1095</v>
      </c>
      <c r="D274" s="12" t="str">
        <f ca="1">IFERROR(__xludf.DUMMYFUNCTION("GOOGLETRANSLATE(C:C, ""en"",""tr"")"),"Tuzlu su sondajları (çinko klorür içeren)")</f>
        <v>Tuzlu su sondajları (çinko klorür içeren)</v>
      </c>
      <c r="E274" s="7" t="s">
        <v>1096</v>
      </c>
      <c r="F274" s="7" t="s">
        <v>1097</v>
      </c>
      <c r="G274" s="7">
        <v>2</v>
      </c>
    </row>
    <row r="275" spans="1:7" ht="12" customHeight="1" x14ac:dyDescent="0.2">
      <c r="A275" s="4">
        <v>274</v>
      </c>
      <c r="B275" s="5" t="s">
        <v>1098</v>
      </c>
      <c r="C275" s="6" t="s">
        <v>1099</v>
      </c>
      <c r="D275" s="12" t="str">
        <f ca="1">IFERROR(__xludf.DUMMYFUNCTION("GOOGLETRANSLATE(C:C, ""en"",""tr"")"),"Epiklorohidrin")</f>
        <v>Epiklorohidrin</v>
      </c>
      <c r="E275" s="7" t="s">
        <v>1100</v>
      </c>
      <c r="F275" s="7" t="s">
        <v>1101</v>
      </c>
      <c r="G275" s="7">
        <v>2</v>
      </c>
    </row>
    <row r="276" spans="1:7" ht="12" customHeight="1" x14ac:dyDescent="0.2">
      <c r="A276" s="4">
        <v>275</v>
      </c>
      <c r="B276" s="5" t="s">
        <v>1102</v>
      </c>
      <c r="C276" s="6" t="s">
        <v>1103</v>
      </c>
      <c r="D276" s="12" t="str">
        <f ca="1">IFERROR(__xludf.DUMMYFUNCTION("GOOGLETRANSLATE(C:C, ""en"",""tr"")"),"Etanolamin")</f>
        <v>Etanolamin</v>
      </c>
      <c r="E276" s="7" t="s">
        <v>1104</v>
      </c>
      <c r="F276" s="7" t="s">
        <v>1105</v>
      </c>
      <c r="G276" s="7">
        <v>3</v>
      </c>
    </row>
    <row r="277" spans="1:7" ht="12" customHeight="1" x14ac:dyDescent="0.2">
      <c r="A277" s="4">
        <v>276</v>
      </c>
      <c r="B277" s="5" t="s">
        <v>1106</v>
      </c>
      <c r="C277" s="6" t="s">
        <v>1107</v>
      </c>
      <c r="D277" s="12" t="str">
        <f ca="1">IFERROR(__xludf.DUMMYFUNCTION("GOOGLETRANSLATE(C:C, ""en"",""tr"")"),"2-etoksietil asetat")</f>
        <v>2-etoksietil asetat</v>
      </c>
      <c r="E277" s="7" t="s">
        <v>1108</v>
      </c>
      <c r="F277" s="7" t="s">
        <v>1109</v>
      </c>
      <c r="G277" s="7">
        <v>3</v>
      </c>
    </row>
    <row r="278" spans="1:7" ht="12" customHeight="1" x14ac:dyDescent="0.2">
      <c r="A278" s="4">
        <v>277</v>
      </c>
      <c r="B278" s="5" t="s">
        <v>1110</v>
      </c>
      <c r="C278" s="6" t="s">
        <v>1111</v>
      </c>
      <c r="D278" s="12" t="str">
        <f ca="1">IFERROR(__xludf.DUMMYFUNCTION("GOOGLETRANSLATE(C:C, ""en"",""tr"")"),"Etoksilatlı Uzun Zincir (C16+) Alkiloksialkilamin")</f>
        <v>Etoksilatlı Uzun Zincir (C16+) Alkiloksialkilamin</v>
      </c>
      <c r="E278" s="7" t="s">
        <v>1112</v>
      </c>
      <c r="F278" s="7" t="s">
        <v>1113</v>
      </c>
      <c r="G278" s="7">
        <v>2</v>
      </c>
    </row>
    <row r="279" spans="1:7" ht="12" customHeight="1" x14ac:dyDescent="0.2">
      <c r="A279" s="4">
        <v>278</v>
      </c>
      <c r="B279" s="5" t="s">
        <v>1114</v>
      </c>
      <c r="C279" s="6" t="s">
        <v>1115</v>
      </c>
      <c r="D279" s="12" t="str">
        <f ca="1">IFERROR(__xludf.DUMMYFUNCTION("GOOGLETRANSLATE(C:C, ""en"",""tr"")"),"Etoksilatlı Donyağı Amin (&gt;%95)")</f>
        <v>Etoksilatlı Donyağı Amin (&gt;%95)</v>
      </c>
      <c r="E279" s="7" t="s">
        <v>1116</v>
      </c>
      <c r="F279" s="7" t="s">
        <v>1117</v>
      </c>
      <c r="G279" s="7">
        <v>2</v>
      </c>
    </row>
    <row r="280" spans="1:7" ht="12" customHeight="1" x14ac:dyDescent="0.2">
      <c r="A280" s="4">
        <v>279</v>
      </c>
      <c r="B280" s="5" t="s">
        <v>1118</v>
      </c>
      <c r="C280" s="6" t="s">
        <v>1119</v>
      </c>
      <c r="D280" s="12" t="str">
        <f ca="1">IFERROR(__xludf.DUMMYFUNCTION("GOOGLETRANSLATE(C:C, ""en"",""tr"")"),"Etil asetat")</f>
        <v>Etil asetat</v>
      </c>
      <c r="E280" s="7" t="s">
        <v>1120</v>
      </c>
      <c r="F280" s="7" t="s">
        <v>1121</v>
      </c>
      <c r="G280" s="7">
        <v>3</v>
      </c>
    </row>
    <row r="281" spans="1:7" ht="12" customHeight="1" x14ac:dyDescent="0.2">
      <c r="A281" s="4">
        <v>280</v>
      </c>
      <c r="B281" s="5" t="s">
        <v>1122</v>
      </c>
      <c r="C281" s="6" t="s">
        <v>1123</v>
      </c>
      <c r="D281" s="12" t="str">
        <f ca="1">IFERROR(__xludf.DUMMYFUNCTION("GOOGLETRANSLATE(C:C, ""en"",""tr"")"),"Etil asetoasetat")</f>
        <v>Etil asetoasetat</v>
      </c>
      <c r="E281" s="7" t="s">
        <v>1124</v>
      </c>
      <c r="F281" s="7" t="s">
        <v>1125</v>
      </c>
      <c r="G281" s="7">
        <v>3</v>
      </c>
    </row>
    <row r="282" spans="1:7" ht="12" customHeight="1" x14ac:dyDescent="0.2">
      <c r="A282" s="4">
        <v>281</v>
      </c>
      <c r="B282" s="5" t="s">
        <v>1126</v>
      </c>
      <c r="C282" s="6" t="s">
        <v>1127</v>
      </c>
      <c r="D282" s="12" t="str">
        <f ca="1">IFERROR(__xludf.DUMMYFUNCTION("GOOGLETRANSLATE(C:C, ""en"",""tr"")"),"Etil akrilat")</f>
        <v>Etil akrilat</v>
      </c>
      <c r="E282" s="7" t="s">
        <v>1128</v>
      </c>
      <c r="F282" s="7" t="s">
        <v>1129</v>
      </c>
      <c r="G282" s="7">
        <v>2</v>
      </c>
    </row>
    <row r="283" spans="1:7" ht="12" customHeight="1" x14ac:dyDescent="0.2">
      <c r="A283" s="4">
        <v>282</v>
      </c>
      <c r="B283" s="5" t="s">
        <v>1130</v>
      </c>
      <c r="C283" s="6" t="s">
        <v>1131</v>
      </c>
      <c r="D283" s="12" t="str">
        <f ca="1">IFERROR(__xludf.DUMMYFUNCTION("GOOGLETRANSLATE(C:C, ""en"",""tr"")"),"Etilamin (*)")</f>
        <v>Etilamin (*)</v>
      </c>
      <c r="E283" s="7" t="s">
        <v>1132</v>
      </c>
      <c r="F283" s="7" t="s">
        <v>1133</v>
      </c>
      <c r="G283" s="7">
        <v>2</v>
      </c>
    </row>
    <row r="284" spans="1:7" ht="12" customHeight="1" x14ac:dyDescent="0.2">
      <c r="A284" s="4">
        <v>283</v>
      </c>
      <c r="B284" s="5" t="s">
        <v>1134</v>
      </c>
      <c r="C284" s="6" t="s">
        <v>1135</v>
      </c>
      <c r="D284" s="12" t="str">
        <f ca="1">IFERROR(__xludf.DUMMYFUNCTION("GOOGLETRANSLATE(C:C, ""en"",""tr"")"),"Etilamin çözeltileri (%72 veya daha az)")</f>
        <v>Etilamin çözeltileri (%72 veya daha az)</v>
      </c>
      <c r="E284" s="7" t="s">
        <v>1136</v>
      </c>
      <c r="F284" s="7" t="s">
        <v>1137</v>
      </c>
      <c r="G284" s="7">
        <v>3</v>
      </c>
    </row>
    <row r="285" spans="1:7" ht="12" customHeight="1" x14ac:dyDescent="0.2">
      <c r="A285" s="4">
        <v>284</v>
      </c>
      <c r="B285" s="5" t="s">
        <v>1138</v>
      </c>
      <c r="C285" s="6" t="s">
        <v>1139</v>
      </c>
      <c r="D285" s="12" t="str">
        <f ca="1">IFERROR(__xludf.DUMMYFUNCTION("GOOGLETRANSLATE(C:C, ""en"",""tr"")"),"Etil Amil Keton")</f>
        <v>Etil Amil Keton</v>
      </c>
      <c r="E285" s="7" t="s">
        <v>1140</v>
      </c>
      <c r="F285" s="7" t="s">
        <v>1141</v>
      </c>
      <c r="G285" s="7">
        <v>2</v>
      </c>
    </row>
    <row r="286" spans="1:7" ht="12" customHeight="1" x14ac:dyDescent="0.2">
      <c r="A286" s="4">
        <v>285</v>
      </c>
      <c r="B286" s="5" t="s">
        <v>1142</v>
      </c>
      <c r="C286" s="6" t="s">
        <v>1143</v>
      </c>
      <c r="D286" s="12" t="str">
        <f ca="1">IFERROR(__xludf.DUMMYFUNCTION("GOOGLETRANSLATE(C:C, ""en"",""tr"")"),"Etilbenzen")</f>
        <v>Etilbenzen</v>
      </c>
      <c r="E286" s="7" t="s">
        <v>1144</v>
      </c>
      <c r="F286" s="7" t="s">
        <v>1145</v>
      </c>
      <c r="G286" s="7">
        <v>2</v>
      </c>
    </row>
    <row r="287" spans="1:7" ht="12" customHeight="1" x14ac:dyDescent="0.2">
      <c r="A287" s="4">
        <v>286</v>
      </c>
      <c r="B287" s="5" t="s">
        <v>1146</v>
      </c>
      <c r="C287" s="6" t="s">
        <v>1147</v>
      </c>
      <c r="D287" s="12" t="str">
        <f ca="1">IFERROR(__xludf.DUMMYFUNCTION("GOOGLETRANSLATE(C:C, ""en"",""tr"")"),"Etil tert-bütil eter")</f>
        <v>Etil tert-bütil eter</v>
      </c>
      <c r="E287" s="7" t="s">
        <v>1148</v>
      </c>
      <c r="F287" s="7" t="s">
        <v>1149</v>
      </c>
      <c r="G287" s="7">
        <v>2</v>
      </c>
    </row>
    <row r="288" spans="1:7" ht="12" customHeight="1" x14ac:dyDescent="0.2">
      <c r="A288" s="4">
        <v>287</v>
      </c>
      <c r="B288" s="5" t="s">
        <v>1150</v>
      </c>
      <c r="C288" s="6" t="s">
        <v>1151</v>
      </c>
      <c r="D288" s="12" t="str">
        <f ca="1">IFERROR(__xludf.DUMMYFUNCTION("GOOGLETRANSLATE(C:C, ""en"",""tr"")"),"Etil butirat")</f>
        <v>Etil butirat</v>
      </c>
      <c r="E288" s="7" t="s">
        <v>1152</v>
      </c>
      <c r="F288" s="7" t="s">
        <v>1153</v>
      </c>
      <c r="G288" s="7">
        <v>2</v>
      </c>
    </row>
    <row r="289" spans="1:7" ht="12" customHeight="1" x14ac:dyDescent="0.2">
      <c r="A289" s="4">
        <v>288</v>
      </c>
      <c r="B289" s="5" t="s">
        <v>1154</v>
      </c>
      <c r="C289" s="6" t="s">
        <v>1155</v>
      </c>
      <c r="D289" s="12" t="str">
        <f ca="1">IFERROR(__xludf.DUMMYFUNCTION("GOOGLETRANSLATE(C:C, ""en"",""tr"")"),"Etilsikloheksan")</f>
        <v>Etilsikloheksan</v>
      </c>
      <c r="E289" s="7" t="s">
        <v>1156</v>
      </c>
      <c r="F289" s="7" t="s">
        <v>1157</v>
      </c>
      <c r="G289" s="7">
        <v>2</v>
      </c>
    </row>
    <row r="290" spans="1:7" ht="12" customHeight="1" x14ac:dyDescent="0.2">
      <c r="A290" s="4">
        <v>289</v>
      </c>
      <c r="B290" s="5" t="s">
        <v>1158</v>
      </c>
      <c r="C290" s="6" t="s">
        <v>1159</v>
      </c>
      <c r="D290" s="12" t="str">
        <f ca="1">IFERROR(__xludf.DUMMYFUNCTION("GOOGLETRANSLATE(C:C, ""en"",""tr"")"),"N-etilsikloheksilamin")</f>
        <v>N-etilsikloheksilamin</v>
      </c>
      <c r="E290" s="7" t="s">
        <v>1160</v>
      </c>
      <c r="F290" s="7" t="s">
        <v>1161</v>
      </c>
      <c r="G290" s="7">
        <v>2</v>
      </c>
    </row>
    <row r="291" spans="1:7" ht="12" customHeight="1" x14ac:dyDescent="0.2">
      <c r="A291" s="4">
        <v>290</v>
      </c>
      <c r="B291" s="5" t="s">
        <v>1162</v>
      </c>
      <c r="C291" s="6" t="s">
        <v>1163</v>
      </c>
      <c r="D291" s="12" t="str">
        <f ca="1">IFERROR(__xludf.DUMMYFUNCTION("GOOGLETRANSLATE(C:C, ""en"",""tr"")"),"S-etil dipropilthiyokarbamat")</f>
        <v>S-etil dipropilthiyokarbamat</v>
      </c>
      <c r="E291" s="7" t="s">
        <v>1164</v>
      </c>
      <c r="F291" s="7" t="s">
        <v>1165</v>
      </c>
      <c r="G291" s="7">
        <v>2</v>
      </c>
    </row>
    <row r="292" spans="1:7" ht="12" customHeight="1" x14ac:dyDescent="0.2">
      <c r="A292" s="4">
        <v>291</v>
      </c>
      <c r="B292" s="5" t="s">
        <v>1166</v>
      </c>
      <c r="C292" s="6" t="s">
        <v>1167</v>
      </c>
      <c r="D292" s="12" t="str">
        <f ca="1">IFERROR(__xludf.DUMMYFUNCTION("GOOGLETRANSLATE(C:C, ""en"",""tr"")"),"Etilen karbonat")</f>
        <v>Etilen karbonat</v>
      </c>
      <c r="E292" s="7" t="s">
        <v>1168</v>
      </c>
      <c r="F292" s="7" t="s">
        <v>1169</v>
      </c>
      <c r="G292" s="7">
        <v>3</v>
      </c>
    </row>
    <row r="293" spans="1:7" ht="12" customHeight="1" x14ac:dyDescent="0.2">
      <c r="A293" s="4">
        <v>292</v>
      </c>
      <c r="B293" s="5" t="s">
        <v>1170</v>
      </c>
      <c r="C293" s="6" t="s">
        <v>1171</v>
      </c>
      <c r="D293" s="12" t="str">
        <f ca="1">IFERROR(__xludf.DUMMYFUNCTION("GOOGLETRANSLATE(C:C, ""en"",""tr"")"),"Etilen klorohidrin")</f>
        <v>Etilen klorohidrin</v>
      </c>
      <c r="E293" s="7" t="s">
        <v>1172</v>
      </c>
      <c r="F293" s="7" t="s">
        <v>1173</v>
      </c>
      <c r="G293" s="7">
        <v>1</v>
      </c>
    </row>
    <row r="294" spans="1:7" ht="12" customHeight="1" x14ac:dyDescent="0.2">
      <c r="A294" s="4">
        <v>293</v>
      </c>
      <c r="B294" s="5" t="s">
        <v>1174</v>
      </c>
      <c r="C294" s="6" t="s">
        <v>1175</v>
      </c>
      <c r="D294" s="12" t="str">
        <f ca="1">IFERROR(__xludf.DUMMYFUNCTION("GOOGLETRANSLATE(C:C, ""en"",""tr"")"),"Etilen siyanohidrin")</f>
        <v>Etilen siyanohidrin</v>
      </c>
      <c r="E294" s="7" t="s">
        <v>1176</v>
      </c>
      <c r="F294" s="7" t="s">
        <v>1177</v>
      </c>
      <c r="G294" s="7">
        <v>2</v>
      </c>
    </row>
    <row r="295" spans="1:7" ht="12" customHeight="1" x14ac:dyDescent="0.2">
      <c r="A295" s="4">
        <v>294</v>
      </c>
      <c r="B295" s="5" t="s">
        <v>1178</v>
      </c>
      <c r="C295" s="6" t="s">
        <v>1179</v>
      </c>
      <c r="D295" s="12" t="str">
        <f ca="1">IFERROR(__xludf.DUMMYFUNCTION("GOOGLETRANSLATE(C:C, ""en"",""tr"")"),"Etilendiamin")</f>
        <v>Etilendiamin</v>
      </c>
      <c r="E295" s="7" t="s">
        <v>1180</v>
      </c>
      <c r="F295" s="7" t="s">
        <v>1181</v>
      </c>
      <c r="G295" s="7">
        <v>2</v>
      </c>
    </row>
    <row r="296" spans="1:7" ht="12" customHeight="1" x14ac:dyDescent="0.2">
      <c r="A296" s="4">
        <v>295</v>
      </c>
      <c r="B296" s="5" t="s">
        <v>1182</v>
      </c>
      <c r="C296" s="6" t="s">
        <v>1183</v>
      </c>
      <c r="D296" s="12" t="str">
        <f ca="1">IFERROR(__xludf.DUMMYFUNCTION("GOOGLETRANSLATE(C:C, ""en"",""tr"")"),"Etilendiaminetetraasetik asit, tetrasodyum tuz çözeltisi")</f>
        <v>Etilendiaminetetraasetik asit, tetrasodyum tuz çözeltisi</v>
      </c>
      <c r="E296" s="7" t="s">
        <v>1184</v>
      </c>
      <c r="F296" s="7" t="s">
        <v>1185</v>
      </c>
      <c r="G296" s="7">
        <v>3</v>
      </c>
    </row>
    <row r="297" spans="1:7" ht="12" customHeight="1" x14ac:dyDescent="0.2">
      <c r="A297" s="4">
        <v>296</v>
      </c>
      <c r="B297" s="5" t="s">
        <v>1186</v>
      </c>
      <c r="C297" s="6" t="s">
        <v>1187</v>
      </c>
      <c r="D297" s="12" t="str">
        <f ca="1">IFERROR(__xludf.DUMMYFUNCTION("GOOGLETRANSLATE(C:C, ""en"",""tr"")"),"Etilen dibromür")</f>
        <v>Etilen dibromür</v>
      </c>
      <c r="E297" s="7" t="s">
        <v>1188</v>
      </c>
      <c r="F297" s="7" t="s">
        <v>1189</v>
      </c>
      <c r="G297" s="7">
        <v>2</v>
      </c>
    </row>
    <row r="298" spans="1:7" ht="12" customHeight="1" x14ac:dyDescent="0.2">
      <c r="A298" s="4">
        <v>297</v>
      </c>
      <c r="B298" s="5" t="s">
        <v>1190</v>
      </c>
      <c r="C298" s="6" t="s">
        <v>1191</v>
      </c>
      <c r="D298" s="12" t="str">
        <f ca="1">IFERROR(__xludf.DUMMYFUNCTION("GOOGLETRANSLATE(C:C, ""en"",""tr"")"),"Etilen diklorür")</f>
        <v>Etilen diklorür</v>
      </c>
      <c r="E298" s="7" t="s">
        <v>1192</v>
      </c>
      <c r="F298" s="7" t="s">
        <v>1193</v>
      </c>
      <c r="G298" s="7">
        <v>3</v>
      </c>
    </row>
    <row r="299" spans="1:7" ht="12" customHeight="1" x14ac:dyDescent="0.2">
      <c r="A299" s="4">
        <v>298</v>
      </c>
      <c r="B299" s="5" t="s">
        <v>1194</v>
      </c>
      <c r="C299" s="6" t="s">
        <v>1195</v>
      </c>
      <c r="D299" s="12" t="str">
        <f ca="1">IFERROR(__xludf.DUMMYFUNCTION("GOOGLETRANSLATE(C:C, ""en"",""tr"")"),"Etilen glikol")</f>
        <v>Etilen glikol</v>
      </c>
      <c r="E299" s="7" t="s">
        <v>1196</v>
      </c>
      <c r="F299" s="7" t="s">
        <v>1197</v>
      </c>
      <c r="G299" s="7">
        <v>3</v>
      </c>
    </row>
    <row r="300" spans="1:7" ht="12" customHeight="1" x14ac:dyDescent="0.2">
      <c r="A300" s="4">
        <v>299</v>
      </c>
      <c r="B300" s="5" t="s">
        <v>1198</v>
      </c>
      <c r="C300" s="6" t="s">
        <v>1199</v>
      </c>
      <c r="D300" s="12" t="str">
        <f ca="1">IFERROR(__xludf.DUMMYFUNCTION("GOOGLETRANSLATE(C:C, ""en"",""tr"")"),"Etilen glikol asetat")</f>
        <v>Etilen glikol asetat</v>
      </c>
      <c r="E300" s="7" t="s">
        <v>1200</v>
      </c>
      <c r="F300" s="7" t="s">
        <v>1201</v>
      </c>
      <c r="G300" s="7">
        <v>3</v>
      </c>
    </row>
    <row r="301" spans="1:7" ht="12" customHeight="1" x14ac:dyDescent="0.2">
      <c r="A301" s="4">
        <v>300</v>
      </c>
      <c r="B301" s="5" t="s">
        <v>1202</v>
      </c>
      <c r="C301" s="6" t="s">
        <v>1203</v>
      </c>
      <c r="D301" s="12" t="str">
        <f ca="1">IFERROR(__xludf.DUMMYFUNCTION("GOOGLETRANSLATE(C:C, ""en"",""tr"")"),"Etilen glikol bütil eter asetat")</f>
        <v>Etilen glikol bütil eter asetat</v>
      </c>
      <c r="E301" s="7" t="s">
        <v>1204</v>
      </c>
      <c r="F301" s="7" t="s">
        <v>1205</v>
      </c>
      <c r="G301" s="7">
        <v>3</v>
      </c>
    </row>
    <row r="302" spans="1:7" ht="12" customHeight="1" x14ac:dyDescent="0.2">
      <c r="A302" s="4">
        <v>301</v>
      </c>
      <c r="B302" s="5" t="s">
        <v>1206</v>
      </c>
      <c r="C302" s="6" t="s">
        <v>1207</v>
      </c>
      <c r="D302" s="12" t="str">
        <f ca="1">IFERROR(__xludf.DUMMYFUNCTION("GOOGLETRANSLATE(C:C, ""en"",""tr"")"),"Etilen glikol diasetat")</f>
        <v>Etilen glikol diasetat</v>
      </c>
      <c r="E302" s="7" t="s">
        <v>1208</v>
      </c>
      <c r="F302" s="7" t="s">
        <v>1209</v>
      </c>
      <c r="G302" s="7">
        <v>2</v>
      </c>
    </row>
    <row r="303" spans="1:7" ht="12" customHeight="1" x14ac:dyDescent="0.2">
      <c r="A303" s="4">
        <v>302</v>
      </c>
      <c r="B303" s="5" t="s">
        <v>1210</v>
      </c>
      <c r="C303" s="6" t="s">
        <v>1211</v>
      </c>
      <c r="D303" s="12" t="str">
        <f ca="1">IFERROR(__xludf.DUMMYFUNCTION("GOOGLETRANSLATE(C:C, ""en"",""tr"")"),"Etilen glikol metil eter asetat")</f>
        <v>Etilen glikol metil eter asetat</v>
      </c>
      <c r="E303" s="7" t="s">
        <v>1212</v>
      </c>
      <c r="F303" s="7" t="s">
        <v>1213</v>
      </c>
      <c r="G303" s="7">
        <v>3</v>
      </c>
    </row>
    <row r="304" spans="1:7" ht="12" customHeight="1" x14ac:dyDescent="0.2">
      <c r="A304" s="4">
        <v>303</v>
      </c>
      <c r="B304" s="5" t="s">
        <v>1214</v>
      </c>
      <c r="C304" s="6" t="s">
        <v>1215</v>
      </c>
      <c r="D304" s="12" t="str">
        <f ca="1">IFERROR(__xludf.DUMMYFUNCTION("GOOGLETRANSLATE(C:C, ""en"",""tr"")"),"Etilen glikol monoalkil eterleri")</f>
        <v>Etilen glikol monoalkil eterleri</v>
      </c>
      <c r="E304" s="7" t="s">
        <v>1216</v>
      </c>
      <c r="F304" s="7" t="s">
        <v>1217</v>
      </c>
      <c r="G304" s="7">
        <v>3</v>
      </c>
    </row>
    <row r="305" spans="1:7" ht="12" customHeight="1" x14ac:dyDescent="0.2">
      <c r="A305" s="4">
        <v>304</v>
      </c>
      <c r="B305" s="5" t="s">
        <v>1218</v>
      </c>
      <c r="C305" s="6" t="s">
        <v>1219</v>
      </c>
      <c r="D305" s="12" t="str">
        <f ca="1">IFERROR(__xludf.DUMMYFUNCTION("GOOGLETRANSLATE(C:C, ""en"",""tr"")"),"Etilen glikol fenil eter")</f>
        <v>Etilen glikol fenil eter</v>
      </c>
      <c r="E305" s="7" t="s">
        <v>1220</v>
      </c>
      <c r="F305" s="7" t="s">
        <v>1221</v>
      </c>
      <c r="G305" s="7">
        <v>3</v>
      </c>
    </row>
    <row r="306" spans="1:7" ht="12" customHeight="1" x14ac:dyDescent="0.2">
      <c r="A306" s="4">
        <v>305</v>
      </c>
      <c r="B306" s="5" t="s">
        <v>1222</v>
      </c>
      <c r="C306" s="6" t="s">
        <v>1223</v>
      </c>
      <c r="D306" s="12" t="str">
        <f ca="1">IFERROR(__xludf.DUMMYFUNCTION("GOOGLETRANSLATE(C:C, ""en"",""tr"")"),"Etilen Glikol Fenil Eter / Dietilen Glikol Fenil Eter Karışımı")</f>
        <v>Etilen Glikol Fenil Eter / Dietilen Glikol Fenil Eter Karışımı</v>
      </c>
      <c r="E306" s="7" t="s">
        <v>1224</v>
      </c>
      <c r="F306" s="7" t="s">
        <v>1225</v>
      </c>
      <c r="G306" s="7">
        <v>3</v>
      </c>
    </row>
    <row r="307" spans="1:7" ht="12" customHeight="1" x14ac:dyDescent="0.2">
      <c r="A307" s="4">
        <v>306</v>
      </c>
      <c r="B307" s="5" t="s">
        <v>1226</v>
      </c>
      <c r="C307" s="6" t="s">
        <v>1227</v>
      </c>
      <c r="D307" s="12" t="str">
        <f ca="1">IFERROR(__xludf.DUMMYFUNCTION("GOOGLETRANSLATE(C:C, ""en"",""tr"")"),"Etilen Glikol (&gt;%75) / Sodyum Alkil Karboksilatlar / Boraks Karışımı")</f>
        <v>Etilen Glikol (&gt;%75) / Sodyum Alkil Karboksilatlar / Boraks Karışımı</v>
      </c>
      <c r="E307" s="7" t="s">
        <v>1228</v>
      </c>
      <c r="F307" s="7" t="s">
        <v>1229</v>
      </c>
      <c r="G307" s="7">
        <v>3</v>
      </c>
    </row>
    <row r="308" spans="1:7" ht="12" customHeight="1" x14ac:dyDescent="0.2">
      <c r="A308" s="4">
        <v>307</v>
      </c>
      <c r="B308" s="5" t="s">
        <v>1230</v>
      </c>
      <c r="C308" s="6" t="s">
        <v>1231</v>
      </c>
      <c r="D308" s="12" t="str">
        <f ca="1">IFERROR(__xludf.DUMMYFUNCTION("GOOGLETRANSLATE(C:C, ""en"",""tr"")"),"Etilen Glikol (&gt;%85) / Sodyum Alkil Karboksilat Karışımı")</f>
        <v>Etilen Glikol (&gt;%85) / Sodyum Alkil Karboksilat Karışımı</v>
      </c>
      <c r="E308" s="7" t="s">
        <v>1232</v>
      </c>
      <c r="F308" s="7" t="s">
        <v>1233</v>
      </c>
      <c r="G308" s="7">
        <v>3</v>
      </c>
    </row>
    <row r="309" spans="1:7" ht="12" customHeight="1" x14ac:dyDescent="0.2">
      <c r="A309" s="4">
        <v>308</v>
      </c>
      <c r="B309" s="5" t="s">
        <v>1234</v>
      </c>
      <c r="C309" s="6" t="s">
        <v>1235</v>
      </c>
      <c r="D309" s="12" t="str">
        <f ca="1">IFERROR(__xludf.DUMMYFUNCTION("GOOGLETRANSLATE(C:C, ""en"",""tr"")"),"Etilen oksit / propilen oksit karışımı, kütle ile %30'dan fazla olmayan bir etilen oksit içeriği")</f>
        <v>Etilen oksit / propilen oksit karışımı, kütle ile %30'dan fazla olmayan bir etilen oksit içeriği</v>
      </c>
      <c r="E309" s="7" t="s">
        <v>1236</v>
      </c>
      <c r="F309" s="7" t="s">
        <v>1237</v>
      </c>
      <c r="G309" s="7">
        <v>2</v>
      </c>
    </row>
    <row r="310" spans="1:7" ht="12" customHeight="1" x14ac:dyDescent="0.2">
      <c r="A310" s="4">
        <v>309</v>
      </c>
      <c r="B310" s="5" t="s">
        <v>1238</v>
      </c>
      <c r="C310" s="6" t="s">
        <v>1239</v>
      </c>
      <c r="D310" s="12" t="str">
        <f ca="1">IFERROR(__xludf.DUMMYFUNCTION("GOOGLETRANSLATE(C:C, ""en"",""tr"")"),"Etilen-vinil asetat kopolimeri (emülsiyon)")</f>
        <v>Etilen-vinil asetat kopolimeri (emülsiyon)</v>
      </c>
      <c r="E310" s="7" t="s">
        <v>1240</v>
      </c>
      <c r="F310" s="7" t="s">
        <v>1241</v>
      </c>
      <c r="G310" s="7">
        <v>3</v>
      </c>
    </row>
    <row r="311" spans="1:7" ht="12" customHeight="1" x14ac:dyDescent="0.2">
      <c r="A311" s="4">
        <v>310</v>
      </c>
      <c r="B311" s="5" t="s">
        <v>1242</v>
      </c>
      <c r="C311" s="6" t="s">
        <v>1243</v>
      </c>
      <c r="D311" s="12" t="str">
        <f ca="1">IFERROR(__xludf.DUMMYFUNCTION("GOOGLETRANSLATE(C:C, ""en"",""tr"")"),"2-etilheksanoik asit")</f>
        <v>2-etilheksanoik asit</v>
      </c>
      <c r="E311" s="7" t="s">
        <v>1244</v>
      </c>
      <c r="F311" s="7" t="s">
        <v>1245</v>
      </c>
      <c r="G311" s="7">
        <v>3</v>
      </c>
    </row>
    <row r="312" spans="1:7" ht="12" customHeight="1" x14ac:dyDescent="0.2">
      <c r="A312" s="4">
        <v>311</v>
      </c>
      <c r="B312" s="5" t="s">
        <v>1246</v>
      </c>
      <c r="C312" s="6" t="s">
        <v>1247</v>
      </c>
      <c r="D312" s="12" t="str">
        <f ca="1">IFERROR(__xludf.DUMMYFUNCTION("GOOGLETRANSLATE(C:C, ""en"",""tr"")"),"2-etilheksil akrilat")</f>
        <v>2-etilheksil akrilat</v>
      </c>
      <c r="E312" s="7" t="s">
        <v>1248</v>
      </c>
      <c r="F312" s="7" t="s">
        <v>1249</v>
      </c>
      <c r="G312" s="7">
        <v>3</v>
      </c>
    </row>
    <row r="313" spans="1:7" ht="12" customHeight="1" x14ac:dyDescent="0.2">
      <c r="A313" s="4">
        <v>312</v>
      </c>
      <c r="B313" s="5" t="s">
        <v>1250</v>
      </c>
      <c r="C313" s="6" t="s">
        <v>1251</v>
      </c>
      <c r="D313" s="12" t="str">
        <f ca="1">IFERROR(__xludf.DUMMYFUNCTION("GOOGLETRANSLATE(C:C, ""en"",""tr"")"),"2-etilheksilamin")</f>
        <v>2-etilheksilamin</v>
      </c>
      <c r="E313" s="7" t="s">
        <v>1252</v>
      </c>
      <c r="F313" s="7" t="s">
        <v>1253</v>
      </c>
      <c r="G313" s="7">
        <v>2</v>
      </c>
    </row>
    <row r="314" spans="1:7" ht="12" customHeight="1" x14ac:dyDescent="0.2">
      <c r="A314" s="4">
        <v>313</v>
      </c>
      <c r="B314" s="5" t="s">
        <v>1254</v>
      </c>
      <c r="C314" s="6" t="s">
        <v>1255</v>
      </c>
      <c r="D314" s="12" t="str">
        <f ca="1">IFERROR(__xludf.DUMMYFUNCTION("GOOGLETRANSLATE(C:C, ""en"",""tr"")"),"Etilenden norbornen")</f>
        <v>Etilenden norbornen</v>
      </c>
      <c r="E314" s="7" t="s">
        <v>1256</v>
      </c>
      <c r="F314" s="7" t="s">
        <v>1257</v>
      </c>
      <c r="G314" s="7">
        <v>2</v>
      </c>
    </row>
    <row r="315" spans="1:7" ht="12" customHeight="1" x14ac:dyDescent="0.2">
      <c r="A315" s="4">
        <v>314</v>
      </c>
      <c r="B315" s="5" t="s">
        <v>1258</v>
      </c>
      <c r="C315" s="6" t="s">
        <v>1259</v>
      </c>
      <c r="D315" s="12" t="str">
        <f ca="1">IFERROR(__xludf.DUMMYFUNCTION("GOOGLETRANSLATE(C:C, ""en"",""tr"")"),"Etil metakrilat")</f>
        <v>Etil metakrilat</v>
      </c>
      <c r="E315" s="7" t="s">
        <v>1260</v>
      </c>
      <c r="F315" s="7" t="s">
        <v>1261</v>
      </c>
      <c r="G315" s="7">
        <v>3</v>
      </c>
    </row>
    <row r="316" spans="1:7" ht="12" customHeight="1" x14ac:dyDescent="0.2">
      <c r="A316" s="4">
        <v>315</v>
      </c>
      <c r="B316" s="5" t="s">
        <v>1262</v>
      </c>
      <c r="C316" s="6" t="s">
        <v>1263</v>
      </c>
      <c r="D316" s="12" t="str">
        <f ca="1">IFERROR(__xludf.DUMMYFUNCTION("GOOGLETRANSLATE(C:C, ""en"",""tr"")"),"N-etilmetilallamin")</f>
        <v>N-etilmetilallamin</v>
      </c>
      <c r="E316" s="7" t="s">
        <v>1264</v>
      </c>
      <c r="F316" s="7" t="s">
        <v>1265</v>
      </c>
      <c r="G316" s="7">
        <v>2</v>
      </c>
    </row>
    <row r="317" spans="1:7" ht="12" customHeight="1" x14ac:dyDescent="0.2">
      <c r="A317" s="4">
        <v>316</v>
      </c>
      <c r="B317" s="5" t="s">
        <v>1266</v>
      </c>
      <c r="C317" s="6" t="s">
        <v>1267</v>
      </c>
      <c r="D317" s="12" t="str">
        <f ca="1">IFERROR(__xludf.DUMMYFUNCTION("GOOGLETRANSLATE(C:C, ""en"",""tr"")"),"Etil Propiyonat")</f>
        <v>Etil Propiyonat</v>
      </c>
      <c r="E317" s="7" t="s">
        <v>1268</v>
      </c>
      <c r="F317" s="7" t="s">
        <v>1269</v>
      </c>
      <c r="G317" s="7">
        <v>3</v>
      </c>
    </row>
    <row r="318" spans="1:7" ht="12" customHeight="1" x14ac:dyDescent="0.2">
      <c r="A318" s="4">
        <v>317</v>
      </c>
      <c r="B318" s="5" t="s">
        <v>1270</v>
      </c>
      <c r="C318" s="6" t="s">
        <v>1271</v>
      </c>
      <c r="D318" s="12" t="str">
        <f ca="1">IFERROR(__xludf.DUMMYFUNCTION("GOOGLETRANSLATE(C:C, ""en"",""tr"")"),"2-etil-3-propilakrolin")</f>
        <v>2-etil-3-propilakrolin</v>
      </c>
      <c r="E318" s="7" t="s">
        <v>1272</v>
      </c>
      <c r="F318" s="7" t="s">
        <v>1273</v>
      </c>
      <c r="G318" s="7">
        <v>3</v>
      </c>
    </row>
    <row r="319" spans="1:7" ht="12" customHeight="1" x14ac:dyDescent="0.2">
      <c r="A319" s="4">
        <v>318</v>
      </c>
      <c r="B319" s="5" t="s">
        <v>1274</v>
      </c>
      <c r="C319" s="6" t="s">
        <v>1275</v>
      </c>
      <c r="D319" s="12" t="str">
        <f ca="1">IFERROR(__xludf.DUMMYFUNCTION("GOOGLETRANSLATE(C:C, ""en"",""tr"")"),"Yağ asidi (doymuş C13 +)")</f>
        <v>Yağ asidi (doymuş C13 +)</v>
      </c>
      <c r="E319" s="7" t="s">
        <v>1276</v>
      </c>
      <c r="F319" s="7" t="s">
        <v>1277</v>
      </c>
      <c r="G319" s="7">
        <v>2</v>
      </c>
    </row>
    <row r="320" spans="1:7" ht="12" customHeight="1" x14ac:dyDescent="0.2">
      <c r="A320" s="4">
        <v>319</v>
      </c>
      <c r="B320" s="5" t="s">
        <v>1278</v>
      </c>
      <c r="C320" s="6" t="s">
        <v>1279</v>
      </c>
      <c r="D320" s="12" t="str">
        <f ca="1">IFERROR(__xludf.DUMMYFUNCTION("GOOGLETRANSLATE(C:C, ""en"",""tr"")"),"Yağ Asit Metil Esterleri (M)")</f>
        <v>Yağ Asit Metil Esterleri (M)</v>
      </c>
      <c r="E320" s="7" t="s">
        <v>1280</v>
      </c>
      <c r="F320" s="7" t="s">
        <v>1281</v>
      </c>
      <c r="G320" s="7">
        <v>2</v>
      </c>
    </row>
    <row r="321" spans="1:7" ht="12" customHeight="1" x14ac:dyDescent="0.2">
      <c r="A321" s="4">
        <v>320</v>
      </c>
      <c r="B321" s="5" t="s">
        <v>1282</v>
      </c>
      <c r="C321" s="6" t="s">
        <v>1283</v>
      </c>
      <c r="D321" s="12" t="str">
        <f ca="1">IFERROR(__xludf.DUMMYFUNCTION("GOOGLETRANSLATE(C:C, ""en"",""tr"")"),"Yağ asitleri, (C8-C10)")</f>
        <v>Yağ asitleri, (C8-C10)</v>
      </c>
      <c r="E321" s="7" t="s">
        <v>1284</v>
      </c>
      <c r="F321" s="7" t="s">
        <v>1285</v>
      </c>
      <c r="G321" s="7">
        <v>2</v>
      </c>
    </row>
    <row r="322" spans="1:7" ht="12" customHeight="1" x14ac:dyDescent="0.2">
      <c r="A322" s="4">
        <v>321</v>
      </c>
      <c r="B322" s="5" t="s">
        <v>1286</v>
      </c>
      <c r="C322" s="6" t="s">
        <v>1287</v>
      </c>
      <c r="D322" s="12" t="str">
        <f ca="1">IFERROR(__xludf.DUMMYFUNCTION("GOOGLETRANSLATE(C:C, ""en"",""tr"")"),"Yağ asitleri, (C12+)")</f>
        <v>Yağ asitleri, (C12+)</v>
      </c>
      <c r="E322" s="7" t="s">
        <v>1288</v>
      </c>
      <c r="F322" s="7" t="s">
        <v>1289</v>
      </c>
      <c r="G322" s="7">
        <v>2</v>
      </c>
    </row>
    <row r="323" spans="1:7" ht="12" customHeight="1" x14ac:dyDescent="0.2">
      <c r="A323" s="4">
        <v>322</v>
      </c>
      <c r="B323" s="5" t="s">
        <v>1290</v>
      </c>
      <c r="C323" s="6" t="s">
        <v>1291</v>
      </c>
      <c r="D323" s="12" t="str">
        <f ca="1">IFERROR(__xludf.DUMMYFUNCTION("GOOGLETRANSLATE(C:C, ""en"",""tr"")"),"Yağ asitleri, esasen doğrusal (C6-C18) 2- etilheksil ester")</f>
        <v>Yağ asitleri, esasen doğrusal (C6-C18) 2- etilheksil ester</v>
      </c>
      <c r="E323" s="7" t="s">
        <v>1292</v>
      </c>
      <c r="F323" s="7" t="s">
        <v>1293</v>
      </c>
      <c r="G323" s="7">
        <v>2</v>
      </c>
    </row>
    <row r="324" spans="1:7" ht="12" customHeight="1" x14ac:dyDescent="0.2">
      <c r="A324" s="4">
        <v>323</v>
      </c>
      <c r="B324" s="5" t="s">
        <v>1294</v>
      </c>
      <c r="C324" s="6" t="s">
        <v>1295</v>
      </c>
      <c r="D324" s="12" t="str">
        <f ca="1">IFERROR(__xludf.DUMMYFUNCTION("GOOGLETRANSLATE(C:C, ""en"",""tr"")"),"Ferrik Klorür Çözeltileri")</f>
        <v>Ferrik Klorür Çözeltileri</v>
      </c>
      <c r="E324" s="7" t="s">
        <v>1296</v>
      </c>
      <c r="F324" s="7" t="s">
        <v>1297</v>
      </c>
      <c r="G324" s="7">
        <v>3</v>
      </c>
    </row>
    <row r="325" spans="1:7" ht="12" customHeight="1" x14ac:dyDescent="0.2">
      <c r="A325" s="4">
        <v>324</v>
      </c>
      <c r="B325" s="5" t="s">
        <v>1298</v>
      </c>
      <c r="C325" s="6" t="s">
        <v>1299</v>
      </c>
      <c r="D325" s="12" t="str">
        <f ca="1">IFERROR(__xludf.DUMMYFUNCTION("GOOGLETRANSLATE(C:C, ""en"",""tr"")"),"Ferrik Nitrat / Nitrik Asit Çözeltisi")</f>
        <v>Ferrik Nitrat / Nitrik Asit Çözeltisi</v>
      </c>
      <c r="E325" s="7" t="s">
        <v>1300</v>
      </c>
      <c r="F325" s="7" t="s">
        <v>1301</v>
      </c>
      <c r="G325" s="7">
        <v>2</v>
      </c>
    </row>
    <row r="326" spans="1:7" ht="12" customHeight="1" x14ac:dyDescent="0.2">
      <c r="A326" s="4">
        <v>325</v>
      </c>
      <c r="B326" s="5" t="s">
        <v>1302</v>
      </c>
      <c r="C326" s="6" t="s">
        <v>1303</v>
      </c>
      <c r="D326" s="12" t="str">
        <f ca="1">IFERROR(__xludf.DUMMYFUNCTION("GOOGLETRANSLATE(C:C, ""en"",""tr"")"),"Balık Yağı")</f>
        <v>Balık Yağı</v>
      </c>
      <c r="E326" s="7" t="s">
        <v>1304</v>
      </c>
      <c r="F326" s="7" t="s">
        <v>1305</v>
      </c>
      <c r="G326" s="7" t="s">
        <v>1306</v>
      </c>
    </row>
    <row r="327" spans="1:7" ht="12" customHeight="1" x14ac:dyDescent="0.2">
      <c r="A327" s="4">
        <v>326</v>
      </c>
      <c r="B327" s="5" t="s">
        <v>1307</v>
      </c>
      <c r="C327" s="6" t="s">
        <v>1308</v>
      </c>
      <c r="D327" s="12" t="str">
        <f ca="1">IFERROR(__xludf.DUMMYFUNCTION("GOOGLETRANSLATE(C:C, ""en"",""tr"")"),"Florosilikik asit çözeltisi (%20-30)")</f>
        <v>Florosilikik asit çözeltisi (%20-30)</v>
      </c>
      <c r="E327" s="7" t="s">
        <v>1309</v>
      </c>
      <c r="F327" s="7" t="s">
        <v>1310</v>
      </c>
      <c r="G327" s="7">
        <v>3</v>
      </c>
    </row>
    <row r="328" spans="1:7" ht="12" customHeight="1" x14ac:dyDescent="0.2">
      <c r="A328" s="4">
        <v>327</v>
      </c>
      <c r="B328" s="5" t="s">
        <v>1311</v>
      </c>
      <c r="C328" s="6" t="s">
        <v>1312</v>
      </c>
      <c r="D328" s="12" t="str">
        <f ca="1">IFERROR(__xludf.DUMMYFUNCTION("GOOGLETRANSLATE(C:C, ""en"",""tr"")"),"Formaldehit Çözümleri (%45 veya daha az)")</f>
        <v>Formaldehit Çözümleri (%45 veya daha az)</v>
      </c>
      <c r="E328" s="7" t="s">
        <v>1313</v>
      </c>
      <c r="F328" s="7" t="s">
        <v>1314</v>
      </c>
      <c r="G328" s="7">
        <v>3</v>
      </c>
    </row>
    <row r="329" spans="1:7" ht="12" customHeight="1" x14ac:dyDescent="0.2">
      <c r="A329" s="4">
        <v>328</v>
      </c>
      <c r="B329" s="5" t="s">
        <v>1315</v>
      </c>
      <c r="C329" s="6" t="s">
        <v>1316</v>
      </c>
      <c r="D329" s="12" t="str">
        <f ca="1">IFERROR(__xludf.DUMMYFUNCTION("GOOGLETRANSLATE(C:C, ""en"",""tr"")"),"Formamid")</f>
        <v>Formamid</v>
      </c>
      <c r="E329" s="7" t="s">
        <v>1317</v>
      </c>
      <c r="F329" s="7" t="s">
        <v>1318</v>
      </c>
      <c r="G329" s="7">
        <v>3</v>
      </c>
    </row>
    <row r="330" spans="1:7" ht="12" customHeight="1" x14ac:dyDescent="0.2">
      <c r="A330" s="4">
        <v>329</v>
      </c>
      <c r="B330" s="5" t="s">
        <v>1319</v>
      </c>
      <c r="C330" s="6" t="s">
        <v>1320</v>
      </c>
      <c r="D330" s="12" t="str">
        <f ca="1">IFERROR(__xludf.DUMMYFUNCTION("GOOGLETRANSLATE(C:C, ""en"",""tr"")"),"Formik asit (%85 veya daha az asit)")</f>
        <v>Formik asit (%85 veya daha az asit)</v>
      </c>
      <c r="E330" s="7" t="s">
        <v>1321</v>
      </c>
      <c r="F330" s="7" t="s">
        <v>1322</v>
      </c>
      <c r="G330" s="7">
        <v>3</v>
      </c>
    </row>
    <row r="331" spans="1:7" ht="12" customHeight="1" x14ac:dyDescent="0.2">
      <c r="A331" s="4">
        <v>330</v>
      </c>
      <c r="B331" s="5" t="s">
        <v>1323</v>
      </c>
      <c r="C331" s="6" t="s">
        <v>1324</v>
      </c>
      <c r="D331" s="12" t="str">
        <f ca="1">IFERROR(__xludf.DUMMYFUNCTION("GOOGLETRANSLATE(C:C, ""en"",""tr"")"),"Formik asit (%85'in üzerinde)")</f>
        <v>Formik asit (%85'in üzerinde)</v>
      </c>
      <c r="E331" s="7" t="s">
        <v>1325</v>
      </c>
      <c r="F331" s="7" t="s">
        <v>1326</v>
      </c>
      <c r="G331" s="7">
        <v>3</v>
      </c>
    </row>
    <row r="332" spans="1:7" ht="12" customHeight="1" x14ac:dyDescent="0.2">
      <c r="A332" s="4">
        <v>331</v>
      </c>
      <c r="B332" s="5" t="s">
        <v>1327</v>
      </c>
      <c r="C332" s="6" t="s">
        <v>1328</v>
      </c>
      <c r="D332" s="12" t="str">
        <f ca="1">IFERROR(__xludf.DUMMYFUNCTION("GOOGLETRANSLATE(C:C, ""en"",""tr"")"),"Formik asit karışımı (%18'den fazla propiyonik asit ve %25'e kadar sodyum formatına kadar)")</f>
        <v>Formik asit karışımı (%18'den fazla propiyonik asit ve %25'e kadar sodyum formatına kadar)</v>
      </c>
      <c r="E332" s="7" t="s">
        <v>1329</v>
      </c>
      <c r="F332" s="7" t="s">
        <v>1330</v>
      </c>
      <c r="G332" s="7">
        <v>3</v>
      </c>
    </row>
    <row r="333" spans="1:7" ht="12" customHeight="1" x14ac:dyDescent="0.2">
      <c r="A333" s="4">
        <v>332</v>
      </c>
      <c r="B333" s="5" t="s">
        <v>1331</v>
      </c>
      <c r="C333" s="6" t="s">
        <v>1332</v>
      </c>
      <c r="D333" s="12" t="str">
        <f ca="1">IFERROR(__xludf.DUMMYFUNCTION("GOOGLETRANSLATE(C:C, ""en"",""tr"")"),"Furfural")</f>
        <v>Furfural</v>
      </c>
      <c r="E333" s="7" t="s">
        <v>1333</v>
      </c>
      <c r="F333" s="7" t="s">
        <v>1334</v>
      </c>
      <c r="G333" s="7">
        <v>3</v>
      </c>
    </row>
    <row r="334" spans="1:7" ht="12" customHeight="1" x14ac:dyDescent="0.2">
      <c r="A334" s="4">
        <v>333</v>
      </c>
      <c r="B334" s="5" t="s">
        <v>1335</v>
      </c>
      <c r="C334" s="6" t="s">
        <v>1336</v>
      </c>
      <c r="D334" s="12" t="str">
        <f ca="1">IFERROR(__xludf.DUMMYFUNCTION("GOOGLETRANSLATE(C:C, ""en"",""tr"")"),"Furfuril alkol")</f>
        <v>Furfuril alkol</v>
      </c>
      <c r="E334" s="7" t="s">
        <v>1337</v>
      </c>
      <c r="F334" s="7" t="s">
        <v>1338</v>
      </c>
      <c r="G334" s="7">
        <v>3</v>
      </c>
    </row>
    <row r="335" spans="1:7" ht="12" customHeight="1" x14ac:dyDescent="0.2">
      <c r="A335" s="4">
        <v>334</v>
      </c>
      <c r="B335" s="5" t="s">
        <v>1339</v>
      </c>
      <c r="C335" s="6" t="s">
        <v>1340</v>
      </c>
      <c r="D335" s="12" t="str">
        <f ca="1">IFERROR(__xludf.DUMMYFUNCTION("GOOGLETRANSLATE(C:C, ""en"",""tr"")"),"Glukitol / gliserol karışımı propoksilatlanmış (%10 veya daha fazla amin içerir)")</f>
        <v>Glukitol / gliserol karışımı propoksilatlanmış (%10 veya daha fazla amin içerir)</v>
      </c>
      <c r="E335" s="7" t="s">
        <v>1341</v>
      </c>
      <c r="F335" s="7" t="s">
        <v>1342</v>
      </c>
      <c r="G335" s="7">
        <v>2</v>
      </c>
    </row>
    <row r="336" spans="1:7" ht="12" customHeight="1" x14ac:dyDescent="0.2">
      <c r="A336" s="4">
        <v>335</v>
      </c>
      <c r="B336" s="5" t="s">
        <v>1343</v>
      </c>
      <c r="C336" s="6" t="s">
        <v>1344</v>
      </c>
      <c r="D336" s="12" t="str">
        <f ca="1">IFERROR(__xludf.DUMMYFUNCTION("GOOGLETRANSLATE(C:C, ""en"",""tr"")"),"Glukitol / gliserol karışımı propoksilatlanmış (%10'dan az amin içerir)")</f>
        <v>Glukitol / gliserol karışımı propoksilatlanmış (%10'dan az amin içerir)</v>
      </c>
      <c r="E336" s="7" t="s">
        <v>1345</v>
      </c>
      <c r="F336" s="7" t="s">
        <v>1346</v>
      </c>
      <c r="G336" s="7">
        <v>3</v>
      </c>
    </row>
    <row r="337" spans="1:7" ht="12" customHeight="1" x14ac:dyDescent="0.2">
      <c r="A337" s="4">
        <v>336</v>
      </c>
      <c r="B337" s="5" t="s">
        <v>1347</v>
      </c>
      <c r="C337" s="6" t="s">
        <v>1348</v>
      </c>
      <c r="D337" s="12" t="str">
        <f ca="1">IFERROR(__xludf.DUMMYFUNCTION("GOOGLETRANSLATE(C:C, ""en"",""tr"")"),"Glutaraldehit Çözümleri (%50 veya daha az)")</f>
        <v>Glutaraldehit Çözümleri (%50 veya daha az)</v>
      </c>
      <c r="E337" s="7" t="s">
        <v>1349</v>
      </c>
      <c r="F337" s="7" t="s">
        <v>1350</v>
      </c>
      <c r="G337" s="7">
        <v>3</v>
      </c>
    </row>
    <row r="338" spans="1:7" ht="12" customHeight="1" x14ac:dyDescent="0.2">
      <c r="A338" s="4">
        <v>337</v>
      </c>
      <c r="B338" s="5" t="s">
        <v>1351</v>
      </c>
      <c r="C338" s="6" t="s">
        <v>1352</v>
      </c>
      <c r="D338" s="12" t="str">
        <f ca="1">IFERROR(__xludf.DUMMYFUNCTION("GOOGLETRANSLATE(C:C, ""en"",""tr"")"),"Gliserin")</f>
        <v>Gliserin</v>
      </c>
      <c r="E338" s="7" t="s">
        <v>1353</v>
      </c>
      <c r="F338" s="7" t="s">
        <v>1354</v>
      </c>
      <c r="G338" s="7">
        <v>3</v>
      </c>
    </row>
    <row r="339" spans="1:7" ht="12" customHeight="1" x14ac:dyDescent="0.2">
      <c r="A339" s="4">
        <v>338</v>
      </c>
      <c r="B339" s="5" t="s">
        <v>1355</v>
      </c>
      <c r="C339" s="6" t="s">
        <v>1356</v>
      </c>
      <c r="D339" s="12" t="str">
        <f ca="1">IFERROR(__xludf.DUMMYFUNCTION("GOOGLETRANSLATE(C:C, ""en"",""tr"")"),"Gliserol monooleate")</f>
        <v>Gliserol monooleate</v>
      </c>
      <c r="E339" s="7" t="s">
        <v>1357</v>
      </c>
      <c r="F339" s="7" t="s">
        <v>1358</v>
      </c>
      <c r="G339" s="7">
        <v>2</v>
      </c>
    </row>
    <row r="340" spans="1:7" ht="12" customHeight="1" x14ac:dyDescent="0.2">
      <c r="A340" s="4">
        <v>339</v>
      </c>
      <c r="B340" s="5" t="s">
        <v>1359</v>
      </c>
      <c r="C340" s="6" t="s">
        <v>1360</v>
      </c>
      <c r="D340" s="12" t="str">
        <f ca="1">IFERROR(__xludf.DUMMYFUNCTION("GOOGLETRANSLATE(C:C, ""en"",""tr"")"),"Gliserol propoksilatlı")</f>
        <v>Gliserol propoksilatlı</v>
      </c>
      <c r="E340" s="7" t="s">
        <v>1361</v>
      </c>
      <c r="F340" s="7" t="s">
        <v>1362</v>
      </c>
      <c r="G340" s="7">
        <v>3</v>
      </c>
    </row>
    <row r="341" spans="1:7" ht="12" customHeight="1" x14ac:dyDescent="0.2">
      <c r="A341" s="4">
        <v>340</v>
      </c>
      <c r="B341" s="5" t="s">
        <v>1363</v>
      </c>
      <c r="C341" s="6" t="s">
        <v>1364</v>
      </c>
      <c r="D341" s="12" t="str">
        <f ca="1">IFERROR(__xludf.DUMMYFUNCTION("GOOGLETRANSLATE(C:C, ""en"",""tr"")"),"Gliseril triasetat")</f>
        <v>Gliseril triasetat</v>
      </c>
      <c r="E341" s="7" t="s">
        <v>1365</v>
      </c>
      <c r="F341" s="7" t="s">
        <v>1366</v>
      </c>
      <c r="G341" s="7">
        <v>3</v>
      </c>
    </row>
    <row r="342" spans="1:7" ht="12" customHeight="1" x14ac:dyDescent="0.2">
      <c r="A342" s="4">
        <v>341</v>
      </c>
      <c r="B342" s="5" t="s">
        <v>1367</v>
      </c>
      <c r="C342" s="6" t="s">
        <v>1368</v>
      </c>
      <c r="D342" s="12" t="str">
        <f ca="1">IFERROR(__xludf.DUMMYFUNCTION("GOOGLETRANSLATE(C:C, ""en"",""tr"")"),"C10 Trialkylacetic Asitin glisidil esteri")</f>
        <v>C10 Trialkylacetic Asitin glisidil esteri</v>
      </c>
      <c r="E342" s="7" t="s">
        <v>1369</v>
      </c>
      <c r="F342" s="7" t="s">
        <v>1370</v>
      </c>
      <c r="G342" s="7">
        <v>2</v>
      </c>
    </row>
    <row r="343" spans="1:7" ht="12" customHeight="1" x14ac:dyDescent="0.2">
      <c r="A343" s="4">
        <v>342</v>
      </c>
      <c r="B343" s="5" t="s">
        <v>1371</v>
      </c>
      <c r="C343" s="6" t="s">
        <v>1372</v>
      </c>
      <c r="D343" s="12" t="str">
        <f ca="1">IFERROR(__xludf.DUMMYFUNCTION("GOOGLETRANSLATE(C:C, ""en"",""tr"")"),"Glisin, Sodyum Tuz Çözeltisi")</f>
        <v>Glisin, Sodyum Tuz Çözeltisi</v>
      </c>
      <c r="E343" s="7" t="s">
        <v>1373</v>
      </c>
      <c r="F343" s="7" t="s">
        <v>1374</v>
      </c>
      <c r="G343" s="7">
        <v>3</v>
      </c>
    </row>
    <row r="344" spans="1:7" ht="12" customHeight="1" x14ac:dyDescent="0.2">
      <c r="A344" s="4">
        <v>343</v>
      </c>
      <c r="B344" s="5" t="s">
        <v>1375</v>
      </c>
      <c r="C344" s="6" t="s">
        <v>1376</v>
      </c>
      <c r="D344" s="12" t="str">
        <f ca="1">IFERROR(__xludf.DUMMYFUNCTION("GOOGLETRANSLATE(C:C, ""en"",""tr"")"),"Glikolik asit çözeltisi (%70 veya daha az)")</f>
        <v>Glikolik asit çözeltisi (%70 veya daha az)</v>
      </c>
      <c r="E344" s="7" t="s">
        <v>1377</v>
      </c>
      <c r="F344" s="7" t="s">
        <v>1378</v>
      </c>
      <c r="G344" s="7">
        <v>3</v>
      </c>
    </row>
    <row r="345" spans="1:7" ht="12" customHeight="1" x14ac:dyDescent="0.2">
      <c r="A345" s="4">
        <v>344</v>
      </c>
      <c r="B345" s="5" t="s">
        <v>1379</v>
      </c>
      <c r="C345" s="6" t="s">
        <v>1380</v>
      </c>
      <c r="D345" s="12" t="str">
        <f ca="1">IFERROR(__xludf.DUMMYFUNCTION("GOOGLETRANSLATE(C:C, ""en"",""tr"")"),"Glioksal çözeltisi (%40 veya daha az)")</f>
        <v>Glioksal çözeltisi (%40 veya daha az)</v>
      </c>
      <c r="E345" s="7" t="s">
        <v>1381</v>
      </c>
      <c r="F345" s="7" t="s">
        <v>1382</v>
      </c>
      <c r="G345" s="7">
        <v>3</v>
      </c>
    </row>
    <row r="346" spans="1:7" ht="12" customHeight="1" x14ac:dyDescent="0.2">
      <c r="A346" s="4">
        <v>345</v>
      </c>
      <c r="B346" s="5" t="s">
        <v>1383</v>
      </c>
      <c r="C346" s="6" t="s">
        <v>1384</v>
      </c>
      <c r="D346" s="12" t="str">
        <f ca="1">IFERROR(__xludf.DUMMYFUNCTION("GOOGLETRANSLATE(C:C, ""en"",""tr"")"),"Glioksilik asit çözeltisi (%50 veya daha az)")</f>
        <v>Glioksilik asit çözeltisi (%50 veya daha az)</v>
      </c>
      <c r="E346" s="7" t="s">
        <v>1385</v>
      </c>
      <c r="F346" s="7" t="s">
        <v>1386</v>
      </c>
      <c r="G346" s="7">
        <v>3</v>
      </c>
    </row>
    <row r="347" spans="1:7" ht="12" customHeight="1" x14ac:dyDescent="0.2">
      <c r="A347" s="4">
        <v>346</v>
      </c>
      <c r="B347" s="5" t="s">
        <v>1387</v>
      </c>
      <c r="C347" s="6" t="s">
        <v>1388</v>
      </c>
      <c r="D347" s="12" t="str">
        <f ca="1">IFERROR(__xludf.DUMMYFUNCTION("GOOGLETRANSLATE(C:C, ""en"",""tr"")"),"Glifosat çözeltisi (yüzey aktif madde içermez)")</f>
        <v>Glifosat çözeltisi (yüzey aktif madde içermez)</v>
      </c>
      <c r="E347" s="7" t="s">
        <v>1389</v>
      </c>
      <c r="F347" s="7" t="s">
        <v>1390</v>
      </c>
      <c r="G347" s="7">
        <v>2</v>
      </c>
    </row>
    <row r="348" spans="1:7" ht="12" customHeight="1" x14ac:dyDescent="0.2">
      <c r="A348" s="4">
        <v>347</v>
      </c>
      <c r="B348" s="5" t="s">
        <v>1391</v>
      </c>
      <c r="C348" s="6" t="s">
        <v>1392</v>
      </c>
      <c r="D348" s="12" t="str">
        <f ca="1">IFERROR(__xludf.DUMMYFUNCTION("GOOGLETRANSLATE(C:C, ""en"",""tr"")"),"Üzüm Çekirdeği Yağı")</f>
        <v>Üzüm Çekirdeği Yağı</v>
      </c>
      <c r="E348" s="7" t="s">
        <v>1393</v>
      </c>
      <c r="F348" s="7" t="s">
        <v>1394</v>
      </c>
      <c r="G348" s="7" t="s">
        <v>1395</v>
      </c>
    </row>
    <row r="349" spans="1:7" ht="12" customHeight="1" x14ac:dyDescent="0.2">
      <c r="A349" s="4">
        <v>348</v>
      </c>
      <c r="B349" s="5" t="s">
        <v>1396</v>
      </c>
      <c r="C349" s="6" t="s">
        <v>1397</v>
      </c>
      <c r="D349" s="12" t="str">
        <f ca="1">IFERROR(__xludf.DUMMYFUNCTION("GOOGLETRANSLATE(C:C, ""en"",""tr"")"),"N-heptanoik asit")</f>
        <v>N-heptanoik asit</v>
      </c>
      <c r="E349" s="7" t="s">
        <v>1398</v>
      </c>
      <c r="F349" s="7" t="s">
        <v>1399</v>
      </c>
      <c r="G349" s="7">
        <v>3</v>
      </c>
    </row>
    <row r="350" spans="1:7" ht="12" customHeight="1" x14ac:dyDescent="0.2">
      <c r="A350" s="4">
        <v>349</v>
      </c>
      <c r="B350" s="5" t="s">
        <v>1400</v>
      </c>
      <c r="C350" s="6" t="s">
        <v>1401</v>
      </c>
      <c r="D350" s="12" t="str">
        <f ca="1">IFERROR(__xludf.DUMMYFUNCTION("GOOGLETRANSLATE(C:C, ""en"",""tr"")"),"Heptanol (tüm izomerler) (D)")</f>
        <v>Heptanol (tüm izomerler) (D)</v>
      </c>
      <c r="E350" s="7" t="s">
        <v>1402</v>
      </c>
      <c r="F350" s="7" t="s">
        <v>1403</v>
      </c>
      <c r="G350" s="7">
        <v>3</v>
      </c>
    </row>
    <row r="351" spans="1:7" ht="12" customHeight="1" x14ac:dyDescent="0.2">
      <c r="A351" s="4">
        <v>350</v>
      </c>
      <c r="B351" s="5" t="s">
        <v>1404</v>
      </c>
      <c r="C351" s="6" t="s">
        <v>1405</v>
      </c>
      <c r="D351" s="12" t="str">
        <f ca="1">IFERROR(__xludf.DUMMYFUNCTION("GOOGLETRANSLATE(C:C, ""en"",""tr"")"),"Heptyl Asetat")</f>
        <v>Heptyl Asetat</v>
      </c>
      <c r="E351" s="7" t="s">
        <v>1406</v>
      </c>
      <c r="F351" s="7" t="s">
        <v>1407</v>
      </c>
      <c r="G351" s="7">
        <v>2</v>
      </c>
    </row>
    <row r="352" spans="1:7" ht="12" customHeight="1" x14ac:dyDescent="0.2">
      <c r="A352" s="4">
        <v>351</v>
      </c>
      <c r="B352" s="5" t="s">
        <v>1408</v>
      </c>
      <c r="C352" s="6" t="s">
        <v>1409</v>
      </c>
      <c r="D352" s="12" t="str">
        <f ca="1">IFERROR(__xludf.DUMMYFUNCTION("GOOGLETRANSLATE(C:C, ""en"",""tr"")"),"1-heksadesilnaftalen / 1,4- BIS (hexadesil) naftalen karışımı")</f>
        <v>1-heksadesilnaftalen / 1,4- BIS (hexadesil) naftalen karışımı</v>
      </c>
      <c r="E352" s="7" t="s">
        <v>1410</v>
      </c>
      <c r="F352" s="7" t="s">
        <v>1411</v>
      </c>
      <c r="G352" s="7">
        <v>2</v>
      </c>
    </row>
    <row r="353" spans="1:7" ht="12" customHeight="1" x14ac:dyDescent="0.2">
      <c r="A353" s="4">
        <v>352</v>
      </c>
      <c r="B353" s="5" t="s">
        <v>1412</v>
      </c>
      <c r="C353" s="6" t="s">
        <v>1413</v>
      </c>
      <c r="D353" s="12" t="str">
        <f ca="1">IFERROR(__xludf.DUMMYFUNCTION("GOOGLETRANSLATE(C:C, ""en"",""tr"")"),"Hexametilendiamin (erimiş)")</f>
        <v>Hexametilendiamin (erimiş)</v>
      </c>
      <c r="E353" s="7" t="s">
        <v>1414</v>
      </c>
      <c r="F353" s="7" t="s">
        <v>1415</v>
      </c>
      <c r="G353" s="7">
        <v>3</v>
      </c>
    </row>
    <row r="354" spans="1:7" ht="12" customHeight="1" x14ac:dyDescent="0.2">
      <c r="A354" s="4">
        <v>353</v>
      </c>
      <c r="B354" s="5" t="s">
        <v>1416</v>
      </c>
      <c r="C354" s="6" t="s">
        <v>1417</v>
      </c>
      <c r="D354" s="12" t="str">
        <f ca="1">IFERROR(__xludf.DUMMYFUNCTION("GOOGLETRANSLATE(C:C, ""en"",""tr"")"),"Hexametilendiamin çözeltisi")</f>
        <v>Hexametilendiamin çözeltisi</v>
      </c>
      <c r="E354" s="7" t="s">
        <v>1418</v>
      </c>
      <c r="F354" s="7" t="s">
        <v>1419</v>
      </c>
      <c r="G354" s="7">
        <v>3</v>
      </c>
    </row>
    <row r="355" spans="1:7" ht="12" customHeight="1" x14ac:dyDescent="0.2">
      <c r="A355" s="4">
        <v>354</v>
      </c>
      <c r="B355" s="5" t="s">
        <v>1420</v>
      </c>
      <c r="C355" s="6" t="s">
        <v>1421</v>
      </c>
      <c r="D355" s="12" t="str">
        <f ca="1">IFERROR(__xludf.DUMMYFUNCTION("GOOGLETRANSLATE(C:C, ""en"",""tr"")"),"Hexametilen diizosiyanat")</f>
        <v>Hexametilen diizosiyanat</v>
      </c>
      <c r="E355" s="7" t="s">
        <v>1422</v>
      </c>
      <c r="F355" s="7" t="s">
        <v>1423</v>
      </c>
      <c r="G355" s="7">
        <v>2</v>
      </c>
    </row>
    <row r="356" spans="1:7" ht="12" customHeight="1" x14ac:dyDescent="0.2">
      <c r="A356" s="4">
        <v>355</v>
      </c>
      <c r="B356" s="5" t="s">
        <v>1424</v>
      </c>
      <c r="C356" s="6" t="s">
        <v>1425</v>
      </c>
      <c r="D356" s="12" t="str">
        <f ca="1">IFERROR(__xludf.DUMMYFUNCTION("GOOGLETRANSLATE(C:C, ""en"",""tr"")"),"Hexametilen glikol")</f>
        <v>Hexametilen glikol</v>
      </c>
      <c r="E356" s="7" t="s">
        <v>1426</v>
      </c>
      <c r="F356" s="7" t="s">
        <v>1427</v>
      </c>
      <c r="G356" s="7">
        <v>3</v>
      </c>
    </row>
    <row r="357" spans="1:7" ht="12" customHeight="1" x14ac:dyDescent="0.2">
      <c r="A357" s="4">
        <v>356</v>
      </c>
      <c r="B357" s="5" t="s">
        <v>1428</v>
      </c>
      <c r="C357" s="6" t="s">
        <v>1429</v>
      </c>
      <c r="D357" s="12" t="str">
        <f ca="1">IFERROR(__xludf.DUMMYFUNCTION("GOOGLETRANSLATE(C:C, ""en"",""tr"")"),"Heksametilenimin")</f>
        <v>Heksametilenimin</v>
      </c>
      <c r="E357" s="7" t="s">
        <v>1430</v>
      </c>
      <c r="F357" s="7" t="s">
        <v>1431</v>
      </c>
      <c r="G357" s="7">
        <v>2</v>
      </c>
    </row>
    <row r="358" spans="1:7" ht="12" customHeight="1" x14ac:dyDescent="0.2">
      <c r="A358" s="4">
        <v>357</v>
      </c>
      <c r="B358" s="5" t="s">
        <v>1432</v>
      </c>
      <c r="C358" s="6" t="s">
        <v>1433</v>
      </c>
      <c r="D358" s="12" t="str">
        <f ca="1">IFERROR(__xludf.DUMMYFUNCTION("GOOGLETRANSLATE(C:C, ""en"",""tr"")"),"Hexamethylenetetramin Çözeltileri")</f>
        <v>Hexamethylenetetramin Çözeltileri</v>
      </c>
      <c r="E358" s="7" t="s">
        <v>1434</v>
      </c>
      <c r="F358" s="7" t="s">
        <v>1435</v>
      </c>
      <c r="G358" s="7">
        <v>3</v>
      </c>
    </row>
    <row r="359" spans="1:7" ht="12" customHeight="1" x14ac:dyDescent="0.2">
      <c r="A359" s="4">
        <v>358</v>
      </c>
      <c r="B359" s="5" t="s">
        <v>1436</v>
      </c>
      <c r="C359" s="6" t="s">
        <v>1437</v>
      </c>
      <c r="D359" s="12" t="str">
        <f ca="1">IFERROR(__xludf.DUMMYFUNCTION("GOOGLETRANSLATE(C:C, ""en"",""tr"")"),"Heksan (tüm izomerler)")</f>
        <v>Heksan (tüm izomerler)</v>
      </c>
      <c r="E359" s="7" t="s">
        <v>1438</v>
      </c>
      <c r="F359" s="7" t="s">
        <v>1439</v>
      </c>
      <c r="G359" s="7">
        <v>2</v>
      </c>
    </row>
    <row r="360" spans="1:7" ht="12" customHeight="1" x14ac:dyDescent="0.2">
      <c r="A360" s="4">
        <v>359</v>
      </c>
      <c r="B360" s="5" t="s">
        <v>1440</v>
      </c>
      <c r="C360" s="6" t="s">
        <v>1441</v>
      </c>
      <c r="D360" s="12" t="str">
        <f ca="1">IFERROR(__xludf.DUMMYFUNCTION("GOOGLETRANSLATE(C:C, ""en"",""tr"")"),"1,6-heksandiol, damıtma üzeri")</f>
        <v>1,6-heksandiol, damıtma üzeri</v>
      </c>
      <c r="E360" s="7" t="s">
        <v>1442</v>
      </c>
      <c r="F360" s="7" t="s">
        <v>1443</v>
      </c>
      <c r="G360" s="7">
        <v>3</v>
      </c>
    </row>
    <row r="361" spans="1:7" ht="12" customHeight="1" x14ac:dyDescent="0.2">
      <c r="A361" s="4">
        <v>360</v>
      </c>
      <c r="B361" s="5" t="s">
        <v>1444</v>
      </c>
      <c r="C361" s="6" t="s">
        <v>1445</v>
      </c>
      <c r="D361" s="12" t="str">
        <f ca="1">IFERROR(__xludf.DUMMYFUNCTION("GOOGLETRANSLATE(C:C, ""en"",""tr"")"),"Heksanoik asit")</f>
        <v>Heksanoik asit</v>
      </c>
      <c r="E361" s="7" t="s">
        <v>1446</v>
      </c>
      <c r="F361" s="7" t="s">
        <v>1447</v>
      </c>
      <c r="G361" s="7">
        <v>3</v>
      </c>
    </row>
    <row r="362" spans="1:7" ht="12" customHeight="1" x14ac:dyDescent="0.2">
      <c r="A362" s="4">
        <v>361</v>
      </c>
      <c r="B362" s="5" t="s">
        <v>1448</v>
      </c>
      <c r="C362" s="6" t="s">
        <v>1449</v>
      </c>
      <c r="D362" s="12" t="str">
        <f ca="1">IFERROR(__xludf.DUMMYFUNCTION("GOOGLETRANSLATE(C:C, ""en"",""tr"")"),"Heksanol")</f>
        <v>Heksanol</v>
      </c>
      <c r="E362" s="7" t="s">
        <v>1450</v>
      </c>
      <c r="F362" s="7" t="s">
        <v>1451</v>
      </c>
      <c r="G362" s="7">
        <v>2</v>
      </c>
    </row>
    <row r="363" spans="1:7" ht="12" customHeight="1" x14ac:dyDescent="0.2">
      <c r="A363" s="4">
        <v>362</v>
      </c>
      <c r="B363" s="5" t="s">
        <v>1452</v>
      </c>
      <c r="C363" s="6" t="s">
        <v>1453</v>
      </c>
      <c r="D363" s="12" t="str">
        <f ca="1">IFERROR(__xludf.DUMMYFUNCTION("GOOGLETRANSLATE(C:C, ""en"",""tr"")"),"Heksen (tüm izomerler)")</f>
        <v>Heksen (tüm izomerler)</v>
      </c>
      <c r="E363" s="7" t="s">
        <v>1454</v>
      </c>
      <c r="F363" s="7" t="s">
        <v>1455</v>
      </c>
      <c r="G363" s="7">
        <v>3</v>
      </c>
    </row>
    <row r="364" spans="1:7" ht="12" customHeight="1" x14ac:dyDescent="0.2">
      <c r="A364" s="4">
        <v>363</v>
      </c>
      <c r="B364" s="5" t="s">
        <v>1456</v>
      </c>
      <c r="C364" s="6" t="s">
        <v>1457</v>
      </c>
      <c r="D364" s="12" t="str">
        <f ca="1">IFERROR(__xludf.DUMMYFUNCTION("GOOGLETRANSLATE(C:C, ""en"",""tr"")"),"Heksil asetat")</f>
        <v>Heksil asetat</v>
      </c>
      <c r="E364" s="7" t="s">
        <v>1458</v>
      </c>
      <c r="F364" s="7" t="s">
        <v>1459</v>
      </c>
      <c r="G364" s="7">
        <v>2</v>
      </c>
    </row>
    <row r="365" spans="1:7" ht="12" customHeight="1" x14ac:dyDescent="0.2">
      <c r="A365" s="4">
        <v>364</v>
      </c>
      <c r="B365" s="5" t="s">
        <v>1460</v>
      </c>
      <c r="C365" s="6" t="s">
        <v>1461</v>
      </c>
      <c r="D365" s="12" t="str">
        <f ca="1">IFERROR(__xludf.DUMMYFUNCTION("GOOGLETRANSLATE(C:C, ""en"",""tr"")"),"Heksilen glikol")</f>
        <v>Heksilen glikol</v>
      </c>
      <c r="E365" s="7" t="s">
        <v>1462</v>
      </c>
      <c r="F365" s="7" t="s">
        <v>1463</v>
      </c>
      <c r="G365" s="7">
        <v>3</v>
      </c>
    </row>
    <row r="366" spans="1:7" ht="12" customHeight="1" x14ac:dyDescent="0.2">
      <c r="A366" s="4">
        <v>365</v>
      </c>
      <c r="B366" s="5" t="s">
        <v>1464</v>
      </c>
      <c r="C366" s="6" t="s">
        <v>1465</v>
      </c>
      <c r="D366" s="12" t="str">
        <f ca="1">IFERROR(__xludf.DUMMYFUNCTION("GOOGLETRANSLATE(C:C, ""en"",""tr"")"),"Hidrokarbon balmumu")</f>
        <v>Hidrokarbon balmumu</v>
      </c>
      <c r="E366" s="7" t="s">
        <v>1466</v>
      </c>
      <c r="F366" s="7" t="s">
        <v>1467</v>
      </c>
      <c r="G366" s="7">
        <v>2</v>
      </c>
    </row>
    <row r="367" spans="1:7" ht="12" customHeight="1" x14ac:dyDescent="0.2">
      <c r="A367" s="4">
        <v>366</v>
      </c>
      <c r="B367" s="5" t="s">
        <v>1468</v>
      </c>
      <c r="C367" s="6" t="s">
        <v>1469</v>
      </c>
      <c r="D367" s="12" t="str">
        <f ca="1">IFERROR(__xludf.DUMMYFUNCTION("GOOGLETRANSLATE(C:C, ""en"",""tr"")"),"Hidroklorik asit (*)")</f>
        <v>Hidroklorik asit (*)</v>
      </c>
      <c r="E367" s="7" t="s">
        <v>1470</v>
      </c>
      <c r="F367" s="7" t="s">
        <v>1471</v>
      </c>
      <c r="G367" s="7">
        <v>3</v>
      </c>
    </row>
    <row r="368" spans="1:7" ht="12" customHeight="1" x14ac:dyDescent="0.2">
      <c r="A368" s="4">
        <v>367</v>
      </c>
      <c r="B368" s="5" t="s">
        <v>1472</v>
      </c>
      <c r="C368" s="6" t="s">
        <v>1473</v>
      </c>
      <c r="D368" s="12" t="str">
        <f ca="1">IFERROR(__xludf.DUMMYFUNCTION("GOOGLETRANSLATE(C:C, ""en"",""tr"")"),"Hidrojen peroksit çözeltileri (%60'ın üzerinde ancak kütle ile %70'in üzerinde değil)")</f>
        <v>Hidrojen peroksit çözeltileri (%60'ın üzerinde ancak kütle ile %70'in üzerinde değil)</v>
      </c>
      <c r="E368" s="7" t="s">
        <v>1474</v>
      </c>
      <c r="F368" s="7" t="s">
        <v>1475</v>
      </c>
      <c r="G368" s="7">
        <v>2</v>
      </c>
    </row>
    <row r="369" spans="1:7" ht="12" customHeight="1" x14ac:dyDescent="0.2">
      <c r="A369" s="4">
        <v>368</v>
      </c>
      <c r="B369" s="5" t="s">
        <v>1476</v>
      </c>
      <c r="C369" s="6" t="s">
        <v>1477</v>
      </c>
      <c r="D369" s="12" t="str">
        <f ca="1">IFERROR(__xludf.DUMMYFUNCTION("GOOGLETRANSLATE(C:C, ""en"",""tr"")"),"Hidrojen peroksit çözeltileri (%8'in üzerinde ancak kütle ile %60'ın üzerinde değil)")</f>
        <v>Hidrojen peroksit çözeltileri (%8'in üzerinde ancak kütle ile %60'ın üzerinde değil)</v>
      </c>
      <c r="E369" s="7" t="s">
        <v>1478</v>
      </c>
      <c r="F369" s="7" t="s">
        <v>1479</v>
      </c>
      <c r="G369" s="7">
        <v>3</v>
      </c>
    </row>
    <row r="370" spans="1:7" ht="12" customHeight="1" x14ac:dyDescent="0.2">
      <c r="A370" s="4">
        <v>369</v>
      </c>
      <c r="B370" s="5" t="s">
        <v>1480</v>
      </c>
      <c r="C370" s="6" t="s">
        <v>1481</v>
      </c>
      <c r="D370" s="12" t="str">
        <f ca="1">IFERROR(__xludf.DUMMYFUNCTION("GOOGLETRANSLATE(C:C, ""en"",""tr"")"),"2-hidroksietil akrilat")</f>
        <v>2-hidroksietil akrilat</v>
      </c>
      <c r="E370" s="7" t="s">
        <v>1482</v>
      </c>
      <c r="F370" s="7" t="s">
        <v>1483</v>
      </c>
      <c r="G370" s="7">
        <v>2</v>
      </c>
    </row>
    <row r="371" spans="1:7" ht="12" customHeight="1" x14ac:dyDescent="0.2">
      <c r="A371" s="4">
        <v>370</v>
      </c>
      <c r="B371" s="5" t="s">
        <v>1484</v>
      </c>
      <c r="C371" s="6" t="s">
        <v>1485</v>
      </c>
      <c r="D371" s="12" t="str">
        <f ca="1">IFERROR(__xludf.DUMMYFUNCTION("GOOGLETRANSLATE(C:C, ""en"",""tr"")"),"N- (hidroksietil) etilendiaminetiyasik asit, trisodyum tuz çözeltisi")</f>
        <v>N- (hidroksietil) etilendiaminetiyasik asit, trisodyum tuz çözeltisi</v>
      </c>
      <c r="E371" s="7" t="s">
        <v>1486</v>
      </c>
      <c r="F371" s="7" t="s">
        <v>1487</v>
      </c>
      <c r="G371" s="7">
        <v>3</v>
      </c>
    </row>
    <row r="372" spans="1:7" ht="12" customHeight="1" x14ac:dyDescent="0.2">
      <c r="A372" s="4">
        <v>371</v>
      </c>
      <c r="B372" s="5" t="s">
        <v>1488</v>
      </c>
      <c r="C372" s="6" t="s">
        <v>1489</v>
      </c>
      <c r="D372" s="12" t="str">
        <f ca="1">IFERROR(__xludf.DUMMYFUNCTION("GOOGLETRANSLATE(C:C, ""en"",""tr"")"),"2-hidroksi-4- (metiltiyo) bütanoik asit")</f>
        <v>2-hidroksi-4- (metiltiyo) bütanoik asit</v>
      </c>
      <c r="E372" s="7" t="s">
        <v>1490</v>
      </c>
      <c r="F372" s="7" t="s">
        <v>1491</v>
      </c>
      <c r="G372" s="7">
        <v>3</v>
      </c>
    </row>
    <row r="373" spans="1:7" ht="12" customHeight="1" x14ac:dyDescent="0.2">
      <c r="A373" s="4">
        <v>372</v>
      </c>
      <c r="B373" s="5" t="s">
        <v>1492</v>
      </c>
      <c r="C373" s="6" t="s">
        <v>1493</v>
      </c>
      <c r="D373" s="12" t="str">
        <f ca="1">IFERROR(__xludf.DUMMYFUNCTION("GOOGLETRANSLATE(C:C, ""en"",""tr"")"),"İzoamil alkol")</f>
        <v>İzoamil alkol</v>
      </c>
      <c r="E373" s="7" t="s">
        <v>1494</v>
      </c>
      <c r="F373" s="7" t="s">
        <v>1495</v>
      </c>
      <c r="G373" s="7">
        <v>3</v>
      </c>
    </row>
    <row r="374" spans="1:7" ht="12" customHeight="1" x14ac:dyDescent="0.2">
      <c r="A374" s="4">
        <v>373</v>
      </c>
      <c r="B374" s="5" t="s">
        <v>1496</v>
      </c>
      <c r="C374" s="6" t="s">
        <v>1497</v>
      </c>
      <c r="D374" s="12" t="str">
        <f ca="1">IFERROR(__xludf.DUMMYFUNCTION("GOOGLETRANSLATE(C:C, ""en"",""tr"")"),"İzobütil alkol")</f>
        <v>İzobütil alkol</v>
      </c>
      <c r="E374" s="7" t="s">
        <v>1498</v>
      </c>
      <c r="F374" s="7" t="s">
        <v>1499</v>
      </c>
      <c r="G374" s="7">
        <v>3</v>
      </c>
    </row>
    <row r="375" spans="1:7" ht="12" customHeight="1" x14ac:dyDescent="0.2">
      <c r="A375" s="4">
        <v>374</v>
      </c>
      <c r="B375" s="5" t="s">
        <v>1500</v>
      </c>
      <c r="C375" s="6" t="s">
        <v>1501</v>
      </c>
      <c r="D375" s="12" t="str">
        <f ca="1">IFERROR(__xludf.DUMMYFUNCTION("GOOGLETRANSLATE(C:C, ""en"",""tr"")"),"İzobütil metakrilat")</f>
        <v>İzobütil metakrilat</v>
      </c>
      <c r="E375" s="7" t="s">
        <v>1502</v>
      </c>
      <c r="F375" s="7" t="s">
        <v>1503</v>
      </c>
      <c r="G375" s="7">
        <v>3</v>
      </c>
    </row>
    <row r="376" spans="1:7" ht="12" customHeight="1" x14ac:dyDescent="0.2">
      <c r="A376" s="4">
        <v>375</v>
      </c>
      <c r="B376" s="5" t="s">
        <v>1504</v>
      </c>
      <c r="C376" s="6" t="s">
        <v>1505</v>
      </c>
      <c r="D376" s="12" t="str">
        <f ca="1">IFERROR(__xludf.DUMMYFUNCTION("GOOGLETRANSLATE(C:C, ""en"",""tr"")"),"İzoforon")</f>
        <v>İzoforon</v>
      </c>
      <c r="E376" s="7" t="s">
        <v>1506</v>
      </c>
      <c r="F376" s="7" t="s">
        <v>1507</v>
      </c>
      <c r="G376" s="7">
        <v>3</v>
      </c>
    </row>
    <row r="377" spans="1:7" ht="12" customHeight="1" x14ac:dyDescent="0.2">
      <c r="A377" s="4">
        <v>376</v>
      </c>
      <c r="B377" s="5" t="s">
        <v>1508</v>
      </c>
      <c r="C377" s="6" t="s">
        <v>1509</v>
      </c>
      <c r="D377" s="12" t="str">
        <f ca="1">IFERROR(__xludf.DUMMYFUNCTION("GOOGLETRANSLATE(C:C, ""en"",""tr"")"),"İzoforonediamin")</f>
        <v>İzoforonediamin</v>
      </c>
      <c r="E377" s="7" t="s">
        <v>1510</v>
      </c>
      <c r="F377" s="7" t="s">
        <v>1511</v>
      </c>
      <c r="G377" s="7">
        <v>3</v>
      </c>
    </row>
    <row r="378" spans="1:7" ht="12" customHeight="1" x14ac:dyDescent="0.2">
      <c r="A378" s="4">
        <v>377</v>
      </c>
      <c r="B378" s="5" t="s">
        <v>1512</v>
      </c>
      <c r="C378" s="6" t="s">
        <v>1513</v>
      </c>
      <c r="D378" s="12" t="str">
        <f ca="1">IFERROR(__xludf.DUMMYFUNCTION("GOOGLETRANSLATE(C:C, ""en"",""tr"")"),"İzoforon diizosiyanat")</f>
        <v>İzoforon diizosiyanat</v>
      </c>
      <c r="E378" s="7" t="s">
        <v>1514</v>
      </c>
      <c r="F378" s="7" t="s">
        <v>1515</v>
      </c>
      <c r="G378" s="7">
        <v>2</v>
      </c>
    </row>
    <row r="379" spans="1:7" ht="12" customHeight="1" x14ac:dyDescent="0.2">
      <c r="A379" s="4">
        <v>378</v>
      </c>
      <c r="B379" s="5" t="s">
        <v>1516</v>
      </c>
      <c r="C379" s="6" t="s">
        <v>1517</v>
      </c>
      <c r="D379" s="12" t="str">
        <f ca="1">IFERROR(__xludf.DUMMYFUNCTION("GOOGLETRANSLATE(C:C, ""en"",""tr"")"),"İzopren")</f>
        <v>İzopren</v>
      </c>
      <c r="E379" s="7" t="s">
        <v>1518</v>
      </c>
      <c r="F379" s="7" t="s">
        <v>1519</v>
      </c>
      <c r="G379" s="7">
        <v>2</v>
      </c>
    </row>
    <row r="380" spans="1:7" ht="12" customHeight="1" x14ac:dyDescent="0.2">
      <c r="A380" s="4">
        <v>379</v>
      </c>
      <c r="B380" s="5" t="s">
        <v>1520</v>
      </c>
      <c r="C380" s="6" t="s">
        <v>1521</v>
      </c>
      <c r="D380" s="12" t="str">
        <f ca="1">IFERROR(__xludf.DUMMYFUNCTION("GOOGLETRANSLATE(C:C, ""en"",""tr"")"),"İzopropanolamin")</f>
        <v>İzopropanolamin</v>
      </c>
      <c r="E380" s="7" t="s">
        <v>1522</v>
      </c>
      <c r="F380" s="7" t="s">
        <v>1523</v>
      </c>
      <c r="G380" s="7">
        <v>3</v>
      </c>
    </row>
    <row r="381" spans="1:7" ht="12" customHeight="1" x14ac:dyDescent="0.2">
      <c r="A381" s="4">
        <v>380</v>
      </c>
      <c r="B381" s="5" t="s">
        <v>1524</v>
      </c>
      <c r="C381" s="6" t="s">
        <v>1525</v>
      </c>
      <c r="D381" s="12" t="str">
        <f ca="1">IFERROR(__xludf.DUMMYFUNCTION("GOOGLETRANSLATE(C:C, ""en"",""tr"")"),"İzopropilamin")</f>
        <v>İzopropilamin</v>
      </c>
      <c r="E381" s="7" t="s">
        <v>1526</v>
      </c>
      <c r="F381" s="7" t="s">
        <v>1527</v>
      </c>
      <c r="G381" s="7">
        <v>3</v>
      </c>
    </row>
    <row r="382" spans="1:7" ht="12" customHeight="1" x14ac:dyDescent="0.2">
      <c r="A382" s="4">
        <v>381</v>
      </c>
      <c r="B382" s="5" t="s">
        <v>1528</v>
      </c>
      <c r="C382" s="6" t="s">
        <v>1529</v>
      </c>
      <c r="D382" s="12" t="str">
        <f ca="1">IFERROR(__xludf.DUMMYFUNCTION("GOOGLETRANSLATE(C:C, ""en"",""tr"")"),"İzopropilamin (%70 veya daha az) çözeltisi")</f>
        <v>İzopropilamin (%70 veya daha az) çözeltisi</v>
      </c>
      <c r="E382" s="7" t="s">
        <v>1530</v>
      </c>
      <c r="F382" s="7" t="s">
        <v>1531</v>
      </c>
      <c r="G382" s="7">
        <v>3</v>
      </c>
    </row>
    <row r="383" spans="1:7" ht="12" customHeight="1" x14ac:dyDescent="0.2">
      <c r="A383" s="4">
        <v>382</v>
      </c>
      <c r="B383" s="5" t="s">
        <v>1532</v>
      </c>
      <c r="C383" s="6" t="s">
        <v>1533</v>
      </c>
      <c r="D383" s="12" t="str">
        <f ca="1">IFERROR(__xludf.DUMMYFUNCTION("GOOGLETRANSLATE(C:C, ""en"",""tr"")"),"İzopropilsikloheksan")</f>
        <v>İzopropilsikloheksan</v>
      </c>
      <c r="E383" s="7" t="s">
        <v>1534</v>
      </c>
      <c r="F383" s="7" t="s">
        <v>1535</v>
      </c>
      <c r="G383" s="7">
        <v>2</v>
      </c>
    </row>
    <row r="384" spans="1:7" ht="12" customHeight="1" x14ac:dyDescent="0.2">
      <c r="A384" s="4">
        <v>383</v>
      </c>
      <c r="B384" s="5" t="s">
        <v>1536</v>
      </c>
      <c r="C384" s="6" t="s">
        <v>1537</v>
      </c>
      <c r="D384" s="12" t="str">
        <f ca="1">IFERROR(__xludf.DUMMYFUNCTION("GOOGLETRANSLATE(C:C, ""en"",""tr"")"),"İzopropil eter")</f>
        <v>İzopropil eter</v>
      </c>
      <c r="E384" s="7" t="s">
        <v>1538</v>
      </c>
      <c r="F384" s="7" t="s">
        <v>1539</v>
      </c>
      <c r="G384" s="7">
        <v>3</v>
      </c>
    </row>
    <row r="385" spans="1:7" ht="12" customHeight="1" x14ac:dyDescent="0.2">
      <c r="A385" s="4">
        <v>384</v>
      </c>
      <c r="B385" s="5" t="s">
        <v>1540</v>
      </c>
      <c r="C385" s="6" t="s">
        <v>1541</v>
      </c>
      <c r="D385" s="12" t="str">
        <f ca="1">IFERROR(__xludf.DUMMYFUNCTION("GOOGLETRANSLATE(C:C, ""en"",""tr"")"),"Laktik Asit")</f>
        <v>Laktik Asit</v>
      </c>
      <c r="E385" s="7" t="s">
        <v>1542</v>
      </c>
      <c r="F385" s="7" t="s">
        <v>1543</v>
      </c>
      <c r="G385" s="7">
        <v>3</v>
      </c>
    </row>
    <row r="386" spans="1:7" ht="12" customHeight="1" x14ac:dyDescent="0.2">
      <c r="A386" s="4">
        <v>385</v>
      </c>
      <c r="B386" s="5" t="s">
        <v>1544</v>
      </c>
      <c r="C386" s="6" t="s">
        <v>1545</v>
      </c>
      <c r="D386" s="12" t="str">
        <f ca="1">IFERROR(__xludf.DUMMYFUNCTION("GOOGLETRANSLATE(C:C, ""en"",""tr"")"),"Laktonitril çözeltisi (% 80 veya daha az)")</f>
        <v>Laktonitril çözeltisi (% 80 veya daha az)</v>
      </c>
      <c r="E386" s="7" t="s">
        <v>1546</v>
      </c>
      <c r="F386" s="7" t="s">
        <v>1547</v>
      </c>
      <c r="G386" s="7">
        <v>1</v>
      </c>
    </row>
    <row r="387" spans="1:7" ht="12" customHeight="1" x14ac:dyDescent="0.2">
      <c r="A387" s="4">
        <v>386</v>
      </c>
      <c r="B387" s="5" t="s">
        <v>1548</v>
      </c>
      <c r="C387" s="6" t="s">
        <v>1549</v>
      </c>
      <c r="D387" s="12" t="str">
        <f ca="1">IFERROR(__xludf.DUMMYFUNCTION("GOOGLETRANSLATE(C:C, ""en"",""tr"")"),"Domuz Yağı")</f>
        <v>Domuz Yağı</v>
      </c>
      <c r="E387" s="7" t="s">
        <v>1550</v>
      </c>
      <c r="F387" s="7" t="s">
        <v>1551</v>
      </c>
      <c r="G387" s="7" t="s">
        <v>1552</v>
      </c>
    </row>
    <row r="388" spans="1:7" ht="12" customHeight="1" x14ac:dyDescent="0.2">
      <c r="A388" s="4">
        <v>387</v>
      </c>
      <c r="B388" s="5" t="s">
        <v>1553</v>
      </c>
      <c r="C388" s="6" t="s">
        <v>1554</v>
      </c>
      <c r="D388" s="12" t="str">
        <f ca="1">IFERROR(__xludf.DUMMYFUNCTION("GOOGLETRANSLATE(C:C, ""en"",""tr"")"),"Lateks, amonyak (% 1 veya daha az) - inhibe edilmiş")</f>
        <v>Lateks, amonyak (% 1 veya daha az) - inhibe edilmiş</v>
      </c>
      <c r="E388" s="7" t="s">
        <v>1555</v>
      </c>
      <c r="F388" s="7" t="s">
        <v>1556</v>
      </c>
      <c r="G388" s="7">
        <v>2</v>
      </c>
    </row>
    <row r="389" spans="1:7" ht="12" customHeight="1" x14ac:dyDescent="0.2">
      <c r="A389" s="4">
        <v>388</v>
      </c>
      <c r="B389" s="5" t="s">
        <v>1557</v>
      </c>
      <c r="C389" s="6" t="s">
        <v>1558</v>
      </c>
      <c r="D389" s="12" t="str">
        <f ca="1">IFERROR(__xludf.DUMMYFUNCTION("GOOGLETRANSLATE(C:C, ""en"",""tr"")"),"Lateks: Karboksilatlı stiren-bütadien kopolimer; stiren bütadien kauçuğu")</f>
        <v>Lateks: Karboksilatlı stiren-bütadien kopolimer; stiren bütadien kauçuğu</v>
      </c>
      <c r="E389" s="7" t="s">
        <v>1559</v>
      </c>
      <c r="F389" s="7" t="s">
        <v>1560</v>
      </c>
      <c r="G389" s="7">
        <v>3</v>
      </c>
    </row>
    <row r="390" spans="1:7" ht="12" customHeight="1" x14ac:dyDescent="0.2">
      <c r="A390" s="4">
        <v>389</v>
      </c>
      <c r="B390" s="5" t="s">
        <v>1561</v>
      </c>
      <c r="C390" s="6" t="s">
        <v>1562</v>
      </c>
      <c r="D390" s="12" t="str">
        <f ca="1">IFERROR(__xludf.DUMMYFUNCTION("GOOGLETRANSLATE(C:C, ""en"",""tr"")"),"Laurik asit")</f>
        <v>Laurik asit</v>
      </c>
      <c r="E390" s="7" t="s">
        <v>1563</v>
      </c>
      <c r="F390" s="7" t="s">
        <v>1564</v>
      </c>
      <c r="G390" s="7">
        <v>2</v>
      </c>
    </row>
    <row r="391" spans="1:7" ht="12" customHeight="1" x14ac:dyDescent="0.2">
      <c r="A391" s="4">
        <v>390</v>
      </c>
      <c r="B391" s="5" t="s">
        <v>1565</v>
      </c>
      <c r="C391" s="6" t="s">
        <v>1566</v>
      </c>
      <c r="D391" s="12" t="str">
        <f ca="1">IFERROR(__xludf.DUMMYFUNCTION("GOOGLETRANSLATE(C:C, ""en"",""tr"")"),"Bezir Yağı")</f>
        <v>Bezir Yağı</v>
      </c>
      <c r="E391" s="7" t="s">
        <v>1567</v>
      </c>
      <c r="F391" s="7" t="s">
        <v>1568</v>
      </c>
      <c r="G391" s="7" t="s">
        <v>1569</v>
      </c>
    </row>
    <row r="392" spans="1:7" ht="12" customHeight="1" x14ac:dyDescent="0.2">
      <c r="A392" s="4">
        <v>391</v>
      </c>
      <c r="B392" s="5" t="s">
        <v>1570</v>
      </c>
      <c r="C392" s="6" t="s">
        <v>1571</v>
      </c>
      <c r="D392" s="12" t="str">
        <f ca="1">IFERROR(__xludf.DUMMYFUNCTION("GOOGLETRANSLATE(C:C, ""en"",""tr"")"),"Sıvı kimyasal atıklar")</f>
        <v>Sıvı kimyasal atıklar</v>
      </c>
      <c r="E392" s="7" t="s">
        <v>1572</v>
      </c>
      <c r="F392" s="7" t="s">
        <v>1573</v>
      </c>
      <c r="G392" s="7">
        <v>2</v>
      </c>
    </row>
    <row r="393" spans="1:7" ht="12" customHeight="1" x14ac:dyDescent="0.2">
      <c r="A393" s="4">
        <v>392</v>
      </c>
      <c r="B393" s="5" t="s">
        <v>1574</v>
      </c>
      <c r="C393" s="6" t="s">
        <v>1575</v>
      </c>
      <c r="D393" s="12" t="str">
        <f ca="1">IFERROR(__xludf.DUMMYFUNCTION("GOOGLETRANSLATE(C:C, ""en"",""tr"")"),"Uzun Zincir Alkaril Polieter (C11-C20)")</f>
        <v>Uzun Zincir Alkaril Polieter (C11-C20)</v>
      </c>
      <c r="E393" s="7" t="s">
        <v>1576</v>
      </c>
      <c r="F393" s="7" t="s">
        <v>1577</v>
      </c>
      <c r="G393" s="7">
        <v>2</v>
      </c>
    </row>
    <row r="394" spans="1:7" ht="12" customHeight="1" x14ac:dyDescent="0.2">
      <c r="A394" s="4">
        <v>393</v>
      </c>
      <c r="B394" s="5" t="s">
        <v>1578</v>
      </c>
      <c r="C394" s="6" t="s">
        <v>1579</v>
      </c>
      <c r="D394" s="12" t="str">
        <f ca="1">IFERROR(__xludf.DUMMYFUNCTION("GOOGLETRANSLATE(C:C, ""en"",""tr"")"),"Uzun Zincir Alkaril Sülfonik Asit (C16-C60)")</f>
        <v>Uzun Zincir Alkaril Sülfonik Asit (C16-C60)</v>
      </c>
      <c r="E394" s="7" t="s">
        <v>1580</v>
      </c>
      <c r="F394" s="7" t="s">
        <v>1581</v>
      </c>
      <c r="G394" s="7">
        <v>2</v>
      </c>
    </row>
    <row r="395" spans="1:7" ht="12" customHeight="1" x14ac:dyDescent="0.2">
      <c r="A395" s="4">
        <v>394</v>
      </c>
      <c r="B395" s="5" t="s">
        <v>1582</v>
      </c>
      <c r="C395" s="6" t="s">
        <v>1583</v>
      </c>
      <c r="D395" s="12" t="str">
        <f ca="1">IFERROR(__xludf.DUMMYFUNCTION("GOOGLETRANSLATE(C:C, ""en"",""tr"")"),"Uzun Zincir Alkilfenat / Fenol Sülfür Karışımı")</f>
        <v>Uzun Zincir Alkilfenat / Fenol Sülfür Karışımı</v>
      </c>
      <c r="E395" s="7" t="s">
        <v>1584</v>
      </c>
      <c r="F395" s="7" t="s">
        <v>1585</v>
      </c>
      <c r="G395" s="7">
        <v>2</v>
      </c>
    </row>
    <row r="396" spans="1:7" ht="12" customHeight="1" x14ac:dyDescent="0.2">
      <c r="A396" s="4">
        <v>395</v>
      </c>
      <c r="B396" s="5" t="s">
        <v>1586</v>
      </c>
      <c r="C396" s="6" t="s">
        <v>1587</v>
      </c>
      <c r="D396" s="12" t="str">
        <f ca="1">IFERROR(__xludf.DUMMYFUNCTION("GOOGLETRANSLATE(C:C, ""en"",""tr"")"),"Uzun Zincir Alkilfenol (C14-C18)")</f>
        <v>Uzun Zincir Alkilfenol (C14-C18)</v>
      </c>
      <c r="E396" s="7" t="s">
        <v>1588</v>
      </c>
      <c r="F396" s="7" t="s">
        <v>1589</v>
      </c>
      <c r="G396" s="7">
        <v>2</v>
      </c>
    </row>
    <row r="397" spans="1:7" ht="12" customHeight="1" x14ac:dyDescent="0.2">
      <c r="A397" s="4">
        <v>396</v>
      </c>
      <c r="B397" s="5" t="s">
        <v>1590</v>
      </c>
      <c r="C397" s="6" t="s">
        <v>1591</v>
      </c>
      <c r="D397" s="12" t="str">
        <f ca="1">IFERROR(__xludf.DUMMYFUNCTION("GOOGLETRANSLATE(C:C, ""en"",""tr"")"),"Uzun Zincir Alkilfenol (C18-C30)")</f>
        <v>Uzun Zincir Alkilfenol (C18-C30)</v>
      </c>
      <c r="E397" s="7" t="s">
        <v>1592</v>
      </c>
      <c r="F397" s="7" t="s">
        <v>1593</v>
      </c>
      <c r="G397" s="7">
        <v>2</v>
      </c>
    </row>
    <row r="398" spans="1:7" ht="12" customHeight="1" x14ac:dyDescent="0.2">
      <c r="A398" s="4">
        <v>397</v>
      </c>
      <c r="B398" s="5" t="s">
        <v>1594</v>
      </c>
      <c r="C398" s="6" t="s">
        <v>1595</v>
      </c>
      <c r="D398" s="12" t="str">
        <f ca="1">IFERROR(__xludf.DUMMYFUNCTION("GOOGLETRANSLATE(C:C, ""en"",""tr"")"),"Magnezyum hidroksit bulamaç")</f>
        <v>Magnezyum hidroksit bulamaç</v>
      </c>
      <c r="E398" s="7" t="s">
        <v>1596</v>
      </c>
      <c r="F398" s="7" t="s">
        <v>1597</v>
      </c>
      <c r="G398" s="7">
        <v>3</v>
      </c>
    </row>
    <row r="399" spans="1:7" ht="12" customHeight="1" x14ac:dyDescent="0.2">
      <c r="A399" s="4">
        <v>398</v>
      </c>
      <c r="B399" s="5" t="s">
        <v>1598</v>
      </c>
      <c r="C399" s="6" t="s">
        <v>1599</v>
      </c>
      <c r="D399" s="12" t="str">
        <f ca="1">IFERROR(__xludf.DUMMYFUNCTION("GOOGLETRANSLATE(C:C, ""en"",""tr"")"),"Magnezyum Uzun Zincir Alkaril Sülfonat (C11-C50)")</f>
        <v>Magnezyum Uzun Zincir Alkaril Sülfonat (C11-C50)</v>
      </c>
      <c r="E399" s="7" t="s">
        <v>1600</v>
      </c>
      <c r="F399" s="7" t="s">
        <v>1601</v>
      </c>
      <c r="G399" s="7">
        <v>2</v>
      </c>
    </row>
    <row r="400" spans="1:7" ht="12" customHeight="1" x14ac:dyDescent="0.2">
      <c r="A400" s="4">
        <v>399</v>
      </c>
      <c r="B400" s="5" t="s">
        <v>1602</v>
      </c>
      <c r="C400" s="6" t="s">
        <v>1603</v>
      </c>
      <c r="D400" s="12" t="str">
        <f ca="1">IFERROR(__xludf.DUMMYFUNCTION("GOOGLETRANSLATE(C:C, ""en"",""tr"")"),"Magnezyum Uzun Zincir Alkil Salisilat (C11+)")</f>
        <v>Magnezyum Uzun Zincir Alkil Salisilat (C11+)</v>
      </c>
      <c r="E400" s="7" t="s">
        <v>1604</v>
      </c>
      <c r="F400" s="7" t="s">
        <v>1605</v>
      </c>
      <c r="G400" s="7">
        <v>2</v>
      </c>
    </row>
    <row r="401" spans="1:7" ht="12" customHeight="1" x14ac:dyDescent="0.2">
      <c r="A401" s="4">
        <v>400</v>
      </c>
      <c r="B401" s="5" t="s">
        <v>1606</v>
      </c>
      <c r="C401" s="6" t="s">
        <v>1607</v>
      </c>
      <c r="D401" s="12" t="str">
        <f ca="1">IFERROR(__xludf.DUMMYFUNCTION("GOOGLETRANSLATE(C:C, ""en"",""tr"")"),"Maleik anhidrit")</f>
        <v>Maleik anhidrit</v>
      </c>
      <c r="E401" s="7" t="s">
        <v>1608</v>
      </c>
      <c r="F401" s="7" t="s">
        <v>1609</v>
      </c>
      <c r="G401" s="7">
        <v>3</v>
      </c>
    </row>
    <row r="402" spans="1:7" ht="12" customHeight="1" x14ac:dyDescent="0.2">
      <c r="A402" s="4">
        <v>401</v>
      </c>
      <c r="B402" s="5" t="s">
        <v>1610</v>
      </c>
      <c r="C402" s="6" t="s">
        <v>1611</v>
      </c>
      <c r="D402" s="12" t="str">
        <f ca="1">IFERROR(__xludf.DUMMYFUNCTION("GOOGLETRANSLATE(C:C, ""en"",""tr"")"),"Merkaptobenzotiyazol, Sodyum Tuz Çözeltisi")</f>
        <v>Merkaptobenzotiyazol, Sodyum Tuz Çözeltisi</v>
      </c>
      <c r="E402" s="7" t="s">
        <v>1612</v>
      </c>
      <c r="F402" s="7" t="s">
        <v>1613</v>
      </c>
      <c r="G402" s="7">
        <v>2</v>
      </c>
    </row>
    <row r="403" spans="1:7" ht="12" customHeight="1" x14ac:dyDescent="0.2">
      <c r="A403" s="4">
        <v>402</v>
      </c>
      <c r="B403" s="5" t="s">
        <v>1614</v>
      </c>
      <c r="C403" s="6" t="s">
        <v>1615</v>
      </c>
      <c r="D403" s="12" t="str">
        <f ca="1">IFERROR(__xludf.DUMMYFUNCTION("GOOGLETRANSLATE(C:C, ""en"",""tr"")"),"Mesityl oksit")</f>
        <v>Mesityl oksit</v>
      </c>
      <c r="E403" s="7" t="s">
        <v>1616</v>
      </c>
      <c r="F403" s="7" t="s">
        <v>1617</v>
      </c>
      <c r="G403" s="7">
        <v>3</v>
      </c>
    </row>
    <row r="404" spans="1:7" ht="12" customHeight="1" x14ac:dyDescent="0.2">
      <c r="A404" s="4">
        <v>403</v>
      </c>
      <c r="B404" s="5" t="s">
        <v>1618</v>
      </c>
      <c r="C404" s="6" t="s">
        <v>1619</v>
      </c>
      <c r="D404" s="12" t="str">
        <f ca="1">IFERROR(__xludf.DUMMYFUNCTION("GOOGLETRANSLATE(C:C, ""en"",""tr"")"),"Metam Sodyum Çözeltisi")</f>
        <v>Metam Sodyum Çözeltisi</v>
      </c>
      <c r="E404" s="7" t="s">
        <v>1620</v>
      </c>
      <c r="F404" s="7" t="s">
        <v>1621</v>
      </c>
      <c r="G404" s="7">
        <v>2</v>
      </c>
    </row>
    <row r="405" spans="1:7" ht="12" customHeight="1" x14ac:dyDescent="0.2">
      <c r="A405" s="4">
        <v>404</v>
      </c>
      <c r="B405" s="5" t="s">
        <v>1622</v>
      </c>
      <c r="C405" s="6" t="s">
        <v>1623</v>
      </c>
      <c r="D405" s="12" t="str">
        <f ca="1">IFERROR(__xludf.DUMMYFUNCTION("GOOGLETRANSLATE(C:C, ""en"",""tr"")"),"Metakrilik asit")</f>
        <v>Metakrilik asit</v>
      </c>
      <c r="E405" s="7" t="s">
        <v>1624</v>
      </c>
      <c r="F405" s="7" t="s">
        <v>1625</v>
      </c>
      <c r="G405" s="7">
        <v>3</v>
      </c>
    </row>
    <row r="406" spans="1:7" ht="12" customHeight="1" x14ac:dyDescent="0.2">
      <c r="A406" s="4">
        <v>405</v>
      </c>
      <c r="B406" s="5" t="s">
        <v>1626</v>
      </c>
      <c r="C406" s="6" t="s">
        <v>1627</v>
      </c>
      <c r="D406" s="12" t="str">
        <f ca="1">IFERROR(__xludf.DUMMYFUNCTION("GOOGLETRANSLATE(C:C, ""en"",""tr"")"),"Metakrilik asit - alkoksipoli (alkilen oksit) metakrilat kopolimer, sodyum tuzu sulu çözeltisi (%45 veya daha az)")</f>
        <v>Metakrilik asit - alkoksipoli (alkilen oksit) metakrilat kopolimer, sodyum tuzu sulu çözeltisi (%45 veya daha az)</v>
      </c>
      <c r="E406" s="7" t="s">
        <v>1628</v>
      </c>
      <c r="F406" s="7" t="s">
        <v>1629</v>
      </c>
      <c r="G406" s="7">
        <v>3</v>
      </c>
    </row>
    <row r="407" spans="1:7" ht="12" customHeight="1" x14ac:dyDescent="0.2">
      <c r="A407" s="4">
        <v>406</v>
      </c>
      <c r="B407" s="5" t="s">
        <v>1630</v>
      </c>
      <c r="C407" s="6" t="s">
        <v>1631</v>
      </c>
      <c r="D407" s="12" t="str">
        <f ca="1">IFERROR(__xludf.DUMMYFUNCTION("GOOGLETRANSLATE(C:C, ""en"",""tr"")"),"Etilen diklorürde metakrilik reçine")</f>
        <v>Etilen diklorürde metakrilik reçine</v>
      </c>
      <c r="E407" s="7" t="s">
        <v>1632</v>
      </c>
      <c r="F407" s="7" t="s">
        <v>1633</v>
      </c>
      <c r="G407" s="7">
        <v>3</v>
      </c>
    </row>
    <row r="408" spans="1:7" ht="12" customHeight="1" x14ac:dyDescent="0.2">
      <c r="A408" s="4">
        <v>407</v>
      </c>
      <c r="B408" s="5" t="s">
        <v>1634</v>
      </c>
      <c r="C408" s="6" t="s">
        <v>1635</v>
      </c>
      <c r="D408" s="12" t="str">
        <f ca="1">IFERROR(__xludf.DUMMYFUNCTION("GOOGLETRANSLATE(C:C, ""en"",""tr"")"),"Metakrillonitril")</f>
        <v>Metakrillonitril</v>
      </c>
      <c r="E408" s="7" t="s">
        <v>1636</v>
      </c>
      <c r="F408" s="7" t="s">
        <v>1637</v>
      </c>
      <c r="G408" s="7">
        <v>2</v>
      </c>
    </row>
    <row r="409" spans="1:7" ht="12" customHeight="1" x14ac:dyDescent="0.2">
      <c r="A409" s="4">
        <v>408</v>
      </c>
      <c r="B409" s="5" t="s">
        <v>1638</v>
      </c>
      <c r="C409" s="6" t="s">
        <v>1639</v>
      </c>
      <c r="D409" s="12" t="str">
        <f ca="1">IFERROR(__xludf.DUMMYFUNCTION("GOOGLETRANSLATE(C:C, ""en"",""tr"")"),"3-Metoksi-1-Butanol")</f>
        <v>3-Metoksi-1-Butanol</v>
      </c>
      <c r="E409" s="7" t="s">
        <v>1640</v>
      </c>
      <c r="F409" s="7" t="s">
        <v>1641</v>
      </c>
      <c r="G409" s="7">
        <v>3</v>
      </c>
    </row>
    <row r="410" spans="1:7" ht="12" customHeight="1" x14ac:dyDescent="0.2">
      <c r="A410" s="4">
        <v>409</v>
      </c>
      <c r="B410" s="5" t="s">
        <v>1642</v>
      </c>
      <c r="C410" s="6" t="s">
        <v>1643</v>
      </c>
      <c r="D410" s="12" t="str">
        <f ca="1">IFERROR(__xludf.DUMMYFUNCTION("GOOGLETRANSLATE(C:C, ""en"",""tr"")"),"3-metokibütil asetat")</f>
        <v>3-metokibütil asetat</v>
      </c>
      <c r="E410" s="7" t="s">
        <v>1644</v>
      </c>
      <c r="F410" s="7" t="s">
        <v>1645</v>
      </c>
      <c r="G410" s="7">
        <v>3</v>
      </c>
    </row>
    <row r="411" spans="1:7" ht="12" customHeight="1" x14ac:dyDescent="0.2">
      <c r="A411" s="4">
        <v>410</v>
      </c>
      <c r="B411" s="5" t="s">
        <v>1646</v>
      </c>
      <c r="C411" s="6" t="s">
        <v>1647</v>
      </c>
      <c r="D411" s="12" t="str">
        <f ca="1">IFERROR(__xludf.DUMMYFUNCTION("GOOGLETRANSLATE(C:C, ""en"",""tr"")"),"N- (2-metoksi-1-metil etil) -2-etil-6-metil kloroasetanilit")</f>
        <v>N- (2-metoksi-1-metil etil) -2-etil-6-metil kloroasetanilit</v>
      </c>
      <c r="E411" s="7" t="s">
        <v>1648</v>
      </c>
      <c r="F411" s="7" t="s">
        <v>1649</v>
      </c>
      <c r="G411" s="7">
        <v>1</v>
      </c>
    </row>
    <row r="412" spans="1:7" ht="12" customHeight="1" x14ac:dyDescent="0.2">
      <c r="A412" s="4">
        <v>411</v>
      </c>
      <c r="B412" s="5" t="s">
        <v>1650</v>
      </c>
      <c r="C412" s="6" t="s">
        <v>1651</v>
      </c>
      <c r="D412" s="12" t="str">
        <f ca="1">IFERROR(__xludf.DUMMYFUNCTION("GOOGLETRANSLATE(C:C, ""en"",""tr"")"),"Metil asetoasetat")</f>
        <v>Metil asetoasetat</v>
      </c>
      <c r="E412" s="7" t="s">
        <v>1652</v>
      </c>
      <c r="F412" s="7" t="s">
        <v>1653</v>
      </c>
      <c r="G412" s="7">
        <v>3</v>
      </c>
    </row>
    <row r="413" spans="1:7" ht="12" customHeight="1" x14ac:dyDescent="0.2">
      <c r="A413" s="4">
        <v>412</v>
      </c>
      <c r="B413" s="5" t="s">
        <v>1654</v>
      </c>
      <c r="C413" s="6" t="s">
        <v>1655</v>
      </c>
      <c r="D413" s="12" t="str">
        <f ca="1">IFERROR(__xludf.DUMMYFUNCTION("GOOGLETRANSLATE(C:C, ""en"",""tr"")"),"Metil akrilat")</f>
        <v>Metil akrilat</v>
      </c>
      <c r="E413" s="7" t="s">
        <v>1656</v>
      </c>
      <c r="F413" s="7" t="s">
        <v>1657</v>
      </c>
      <c r="G413" s="7">
        <v>3</v>
      </c>
    </row>
    <row r="414" spans="1:7" ht="12" customHeight="1" x14ac:dyDescent="0.2">
      <c r="A414" s="4">
        <v>413</v>
      </c>
      <c r="B414" s="5" t="s">
        <v>1658</v>
      </c>
      <c r="C414" s="6" t="s">
        <v>1659</v>
      </c>
      <c r="D414" s="12" t="str">
        <f ca="1">IFERROR(__xludf.DUMMYFUNCTION("GOOGLETRANSLATE(C:C, ""en"",""tr"")"),"Metil Alkol (*)")</f>
        <v>Metil Alkol (*)</v>
      </c>
      <c r="E414" s="7" t="s">
        <v>1660</v>
      </c>
      <c r="F414" s="7" t="s">
        <v>1661</v>
      </c>
      <c r="G414" s="7">
        <v>3</v>
      </c>
    </row>
    <row r="415" spans="1:7" ht="12" customHeight="1" x14ac:dyDescent="0.2">
      <c r="A415" s="4">
        <v>414</v>
      </c>
      <c r="B415" s="5" t="s">
        <v>1662</v>
      </c>
      <c r="C415" s="6" t="s">
        <v>1663</v>
      </c>
      <c r="D415" s="12" t="str">
        <f ca="1">IFERROR(__xludf.DUMMYFUNCTION("GOOGLETRANSLATE(C:C, ""en"",""tr"")"),"Metilamin çözeltileri (% 42 veya daha az)")</f>
        <v>Metilamin çözeltileri (% 42 veya daha az)</v>
      </c>
      <c r="E415" s="7" t="s">
        <v>1664</v>
      </c>
      <c r="F415" s="7" t="s">
        <v>1665</v>
      </c>
      <c r="G415" s="7">
        <v>2</v>
      </c>
    </row>
    <row r="416" spans="1:7" ht="12" customHeight="1" x14ac:dyDescent="0.2">
      <c r="A416" s="4">
        <v>415</v>
      </c>
      <c r="B416" s="5" t="s">
        <v>1666</v>
      </c>
      <c r="C416" s="6" t="s">
        <v>1667</v>
      </c>
      <c r="D416" s="12" t="str">
        <f ca="1">IFERROR(__xludf.DUMMYFUNCTION("GOOGLETRANSLATE(C:C, ""en"",""tr"")"),"Metilamil alkol")</f>
        <v>Metilamil alkol</v>
      </c>
      <c r="E416" s="7" t="s">
        <v>1668</v>
      </c>
      <c r="F416" s="7" t="s">
        <v>1669</v>
      </c>
      <c r="G416" s="7">
        <v>3</v>
      </c>
    </row>
    <row r="417" spans="1:7" ht="12" customHeight="1" x14ac:dyDescent="0.2">
      <c r="A417" s="4">
        <v>416</v>
      </c>
      <c r="B417" s="5" t="s">
        <v>1670</v>
      </c>
      <c r="C417" s="6" t="s">
        <v>1671</v>
      </c>
      <c r="D417" s="12" t="str">
        <f ca="1">IFERROR(__xludf.DUMMYFUNCTION("GOOGLETRANSLATE(C:C, ""en"",""tr"")"),"Metil Amil Keton")</f>
        <v>Metil Amil Keton</v>
      </c>
      <c r="E417" s="7" t="s">
        <v>1672</v>
      </c>
      <c r="F417" s="7" t="s">
        <v>1673</v>
      </c>
      <c r="G417" s="7">
        <v>3</v>
      </c>
    </row>
    <row r="418" spans="1:7" ht="12" customHeight="1" x14ac:dyDescent="0.2">
      <c r="A418" s="4">
        <v>417</v>
      </c>
      <c r="B418" s="5" t="s">
        <v>1674</v>
      </c>
      <c r="C418" s="6" t="s">
        <v>1675</v>
      </c>
      <c r="D418" s="12" t="str">
        <f ca="1">IFERROR(__xludf.DUMMYFUNCTION("GOOGLETRANSLATE(C:C, ""en"",""tr"")"),"N-metilanilin")</f>
        <v>N-metilanilin</v>
      </c>
      <c r="E418" s="7" t="s">
        <v>1676</v>
      </c>
      <c r="F418" s="7" t="s">
        <v>1677</v>
      </c>
      <c r="G418" s="7">
        <v>2</v>
      </c>
    </row>
    <row r="419" spans="1:7" ht="12" customHeight="1" x14ac:dyDescent="0.2">
      <c r="A419" s="4">
        <v>418</v>
      </c>
      <c r="B419" s="5" t="s">
        <v>1678</v>
      </c>
      <c r="C419" s="6" t="s">
        <v>1679</v>
      </c>
      <c r="D419" s="12" t="str">
        <f ca="1">IFERROR(__xludf.DUMMYFUNCTION("GOOGLETRANSLATE(C:C, ""en"",""tr"")"),"Asetofenonlu alfa-metilbenzil alkol (%15 veya daha az)")</f>
        <v>Asetofenonlu alfa-metilbenzil alkol (%15 veya daha az)</v>
      </c>
      <c r="E419" s="7" t="s">
        <v>1680</v>
      </c>
      <c r="F419" s="7" t="s">
        <v>1681</v>
      </c>
      <c r="G419" s="7">
        <v>2</v>
      </c>
    </row>
    <row r="420" spans="1:7" ht="12" customHeight="1" x14ac:dyDescent="0.2">
      <c r="A420" s="4">
        <v>419</v>
      </c>
      <c r="B420" s="5" t="s">
        <v>1682</v>
      </c>
      <c r="C420" s="6" t="s">
        <v>1683</v>
      </c>
      <c r="D420" s="12" t="str">
        <f ca="1">IFERROR(__xludf.DUMMYFUNCTION("GOOGLETRANSLATE(C:C, ""en"",""tr"")"),"Metilbütenol")</f>
        <v>Metilbütenol</v>
      </c>
      <c r="E420" s="7" t="s">
        <v>1684</v>
      </c>
      <c r="F420" s="7" t="s">
        <v>1685</v>
      </c>
      <c r="G420" s="7">
        <v>3</v>
      </c>
    </row>
    <row r="421" spans="1:7" ht="12" customHeight="1" x14ac:dyDescent="0.2">
      <c r="A421" s="4">
        <v>420</v>
      </c>
      <c r="B421" s="5" t="s">
        <v>1686</v>
      </c>
      <c r="C421" s="6" t="s">
        <v>1687</v>
      </c>
      <c r="D421" s="12" t="str">
        <f ca="1">IFERROR(__xludf.DUMMYFUNCTION("GOOGLETRANSLATE(C:C, ""en"",""tr"")"),"Metil Butil Keton")</f>
        <v>Metil Butil Keton</v>
      </c>
      <c r="E421" s="7" t="s">
        <v>1688</v>
      </c>
      <c r="F421" s="7" t="s">
        <v>1689</v>
      </c>
      <c r="G421" s="7">
        <v>3</v>
      </c>
    </row>
    <row r="422" spans="1:7" ht="12" customHeight="1" x14ac:dyDescent="0.2">
      <c r="A422" s="4">
        <v>421</v>
      </c>
      <c r="B422" s="5" t="s">
        <v>1690</v>
      </c>
      <c r="C422" s="6" t="s">
        <v>1691</v>
      </c>
      <c r="D422" s="12" t="str">
        <f ca="1">IFERROR(__xludf.DUMMYFUNCTION("GOOGLETRANSLATE(C:C, ""en"",""tr"")"),"Metilbutynol")</f>
        <v>Metilbutynol</v>
      </c>
      <c r="E422" s="7" t="s">
        <v>1692</v>
      </c>
      <c r="F422" s="7" t="s">
        <v>1693</v>
      </c>
      <c r="G422" s="7">
        <v>3</v>
      </c>
    </row>
    <row r="423" spans="1:7" ht="12" customHeight="1" x14ac:dyDescent="0.2">
      <c r="A423" s="4">
        <v>422</v>
      </c>
      <c r="B423" s="5" t="s">
        <v>1694</v>
      </c>
      <c r="C423" s="6" t="s">
        <v>1695</v>
      </c>
      <c r="D423" s="12" t="str">
        <f ca="1">IFERROR(__xludf.DUMMYFUNCTION("GOOGLETRANSLATE(C:C, ""en"",""tr"")"),"Metil butirat")</f>
        <v>Metil butirat</v>
      </c>
      <c r="E423" s="7" t="s">
        <v>1696</v>
      </c>
      <c r="F423" s="7" t="s">
        <v>1697</v>
      </c>
      <c r="G423" s="7">
        <v>3</v>
      </c>
    </row>
    <row r="424" spans="1:7" ht="12" customHeight="1" x14ac:dyDescent="0.2">
      <c r="A424" s="4">
        <v>423</v>
      </c>
      <c r="B424" s="5" t="s">
        <v>1698</v>
      </c>
      <c r="C424" s="6" t="s">
        <v>1699</v>
      </c>
      <c r="D424" s="12" t="str">
        <f ca="1">IFERROR(__xludf.DUMMYFUNCTION("GOOGLETRANSLATE(C:C, ""en"",""tr"")"),"Metilsikloheksan")</f>
        <v>Metilsikloheksan</v>
      </c>
      <c r="E424" s="7" t="s">
        <v>1700</v>
      </c>
      <c r="F424" s="7" t="s">
        <v>1701</v>
      </c>
      <c r="G424" s="7">
        <v>2</v>
      </c>
    </row>
    <row r="425" spans="1:7" ht="12" customHeight="1" x14ac:dyDescent="0.2">
      <c r="A425" s="4">
        <v>424</v>
      </c>
      <c r="B425" s="5" t="s">
        <v>1702</v>
      </c>
      <c r="C425" s="6" t="s">
        <v>1703</v>
      </c>
      <c r="D425" s="12" t="str">
        <f ca="1">IFERROR(__xludf.DUMMYFUNCTION("GOOGLETRANSLATE(C:C, ""en"",""tr"")"),"Metilsiklopentadiene dimer")</f>
        <v>Metilsiklopentadiene dimer</v>
      </c>
      <c r="E425" s="7" t="s">
        <v>1704</v>
      </c>
      <c r="F425" s="7" t="s">
        <v>1705</v>
      </c>
      <c r="G425" s="7">
        <v>2</v>
      </c>
    </row>
    <row r="426" spans="1:7" ht="12" customHeight="1" x14ac:dyDescent="0.2">
      <c r="A426" s="4">
        <v>425</v>
      </c>
      <c r="B426" s="5" t="s">
        <v>1706</v>
      </c>
      <c r="C426" s="6" t="s">
        <v>1707</v>
      </c>
      <c r="D426" s="12" t="str">
        <f ca="1">IFERROR(__xludf.DUMMYFUNCTION("GOOGLETRANSLATE(C:C, ""en"",""tr"")"),"Metilsiklopentadienil manganez trikarbonil")</f>
        <v>Metilsiklopentadienil manganez trikarbonil</v>
      </c>
      <c r="E426" s="7" t="s">
        <v>1708</v>
      </c>
      <c r="F426" s="7" t="s">
        <v>1709</v>
      </c>
      <c r="G426" s="7">
        <v>2</v>
      </c>
    </row>
    <row r="427" spans="1:7" ht="12" customHeight="1" x14ac:dyDescent="0.2">
      <c r="A427" s="4">
        <v>426</v>
      </c>
      <c r="B427" s="5" t="s">
        <v>1710</v>
      </c>
      <c r="C427" s="6" t="s">
        <v>1711</v>
      </c>
      <c r="D427" s="12" t="str">
        <f ca="1">IFERROR(__xludf.DUMMYFUNCTION("GOOGLETRANSLATE(C:C, ""en"",""tr"")"),"Metil diethanolamine")</f>
        <v>Metil diethanolamine</v>
      </c>
      <c r="E427" s="7" t="s">
        <v>1712</v>
      </c>
      <c r="F427" s="7" t="s">
        <v>1713</v>
      </c>
      <c r="G427" s="7">
        <v>3</v>
      </c>
    </row>
    <row r="428" spans="1:7" ht="12" customHeight="1" x14ac:dyDescent="0.2">
      <c r="A428" s="4">
        <v>427</v>
      </c>
      <c r="B428" s="5" t="s">
        <v>1714</v>
      </c>
      <c r="C428" s="6" t="s">
        <v>1715</v>
      </c>
      <c r="D428" s="12" t="str">
        <f ca="1">IFERROR(__xludf.DUMMYFUNCTION("GOOGLETRANSLATE(C:C, ""en"",""tr"")"),"2-metil-6-etil anilin")</f>
        <v>2-metil-6-etil anilin</v>
      </c>
      <c r="E428" s="7" t="s">
        <v>1716</v>
      </c>
      <c r="F428" s="7" t="s">
        <v>1717</v>
      </c>
      <c r="G428" s="7">
        <v>3</v>
      </c>
    </row>
    <row r="429" spans="1:7" ht="12" customHeight="1" x14ac:dyDescent="0.2">
      <c r="A429" s="4">
        <v>428</v>
      </c>
      <c r="B429" s="5" t="s">
        <v>1718</v>
      </c>
      <c r="C429" s="6" t="s">
        <v>1719</v>
      </c>
      <c r="D429" s="12" t="str">
        <f ca="1">IFERROR(__xludf.DUMMYFUNCTION("GOOGLETRANSLATE(C:C, ""en"",""tr"")"),"Metil Etil Ketone")</f>
        <v>Metil Etil Ketone</v>
      </c>
      <c r="E429" s="7" t="s">
        <v>1720</v>
      </c>
      <c r="F429" s="7" t="s">
        <v>1721</v>
      </c>
      <c r="G429" s="7">
        <v>3</v>
      </c>
    </row>
    <row r="430" spans="1:7" ht="12" customHeight="1" x14ac:dyDescent="0.2">
      <c r="A430" s="4">
        <v>429</v>
      </c>
      <c r="B430" s="5" t="s">
        <v>1722</v>
      </c>
      <c r="C430" s="6" t="s">
        <v>1723</v>
      </c>
      <c r="D430" s="12" t="str">
        <f ca="1">IFERROR(__xludf.DUMMYFUNCTION("GOOGLETRANSLATE(C:C, ""en"",""tr"")"),"2-metil-5-etil piridin")</f>
        <v>2-metil-5-etil piridin</v>
      </c>
      <c r="E430" s="7" t="s">
        <v>1724</v>
      </c>
      <c r="F430" s="7" t="s">
        <v>1725</v>
      </c>
      <c r="G430" s="7">
        <v>2</v>
      </c>
    </row>
    <row r="431" spans="1:7" ht="12" customHeight="1" x14ac:dyDescent="0.2">
      <c r="A431" s="4">
        <v>430</v>
      </c>
      <c r="B431" s="5" t="s">
        <v>1726</v>
      </c>
      <c r="C431" s="6" t="s">
        <v>1727</v>
      </c>
      <c r="D431" s="12" t="str">
        <f ca="1">IFERROR(__xludf.DUMMYFUNCTION("GOOGLETRANSLATE(C:C, ""en"",""tr"")"),"Metil format")</f>
        <v>Metil format</v>
      </c>
      <c r="E431" s="7" t="s">
        <v>1728</v>
      </c>
      <c r="F431" s="7" t="s">
        <v>1729</v>
      </c>
      <c r="G431" s="7">
        <v>2</v>
      </c>
    </row>
    <row r="432" spans="1:7" ht="12" customHeight="1" x14ac:dyDescent="0.2">
      <c r="A432" s="4">
        <v>431</v>
      </c>
      <c r="B432" s="5" t="s">
        <v>1730</v>
      </c>
      <c r="C432" s="6" t="s">
        <v>1731</v>
      </c>
      <c r="D432" s="12" t="str">
        <f ca="1">IFERROR(__xludf.DUMMYFUNCTION("GOOGLETRANSLATE(C:C, ""en"",""tr"")"),"N-metilglukamin çözeltisi (%70 veya daha az)")</f>
        <v>N-metilglukamin çözeltisi (%70 veya daha az)</v>
      </c>
      <c r="E432" s="7" t="s">
        <v>1732</v>
      </c>
      <c r="F432" s="7" t="s">
        <v>1733</v>
      </c>
      <c r="G432" s="7">
        <v>3</v>
      </c>
    </row>
    <row r="433" spans="1:7" ht="12" customHeight="1" x14ac:dyDescent="0.2">
      <c r="A433" s="4">
        <v>432</v>
      </c>
      <c r="B433" s="5" t="s">
        <v>1734</v>
      </c>
      <c r="C433" s="6" t="s">
        <v>1735</v>
      </c>
      <c r="D433" s="12" t="str">
        <f ca="1">IFERROR(__xludf.DUMMYFUNCTION("GOOGLETRANSLATE(C:C, ""en"",""tr"")"),"2-etilsüksinonitril (%12 veya daha az) ile 2-metilglutaronitril")</f>
        <v>2-etilsüksinonitril (%12 veya daha az) ile 2-metilglutaronitril</v>
      </c>
      <c r="E433" s="7" t="s">
        <v>1736</v>
      </c>
      <c r="F433" s="7" t="s">
        <v>1737</v>
      </c>
      <c r="G433" s="7">
        <v>3</v>
      </c>
    </row>
    <row r="434" spans="1:7" ht="12" customHeight="1" x14ac:dyDescent="0.2">
      <c r="A434" s="4">
        <v>433</v>
      </c>
      <c r="B434" s="5" t="s">
        <v>1738</v>
      </c>
      <c r="C434" s="6" t="s">
        <v>1739</v>
      </c>
      <c r="D434" s="12" t="str">
        <f ca="1">IFERROR(__xludf.DUMMYFUNCTION("GOOGLETRANSLATE(C:C, ""en"",""tr"")"),"2-Metil-2-Hidroksi-3-Butyne")</f>
        <v>2-Metil-2-Hidroksi-3-Butyne</v>
      </c>
      <c r="E434" s="7" t="s">
        <v>1740</v>
      </c>
      <c r="F434" s="7" t="s">
        <v>1741</v>
      </c>
      <c r="G434" s="7">
        <v>3</v>
      </c>
    </row>
    <row r="435" spans="1:7" ht="12" customHeight="1" x14ac:dyDescent="0.2">
      <c r="A435" s="4">
        <v>434</v>
      </c>
      <c r="B435" s="5" t="s">
        <v>1742</v>
      </c>
      <c r="C435" s="6" t="s">
        <v>1743</v>
      </c>
      <c r="D435" s="12" t="str">
        <f ca="1">IFERROR(__xludf.DUMMYFUNCTION("GOOGLETRANSLATE(C:C, ""en"",""tr"")"),"Metil izobütil keton")</f>
        <v>Metil izobütil keton</v>
      </c>
      <c r="E435" s="7" t="s">
        <v>1744</v>
      </c>
      <c r="F435" s="7" t="s">
        <v>1745</v>
      </c>
      <c r="G435" s="7">
        <v>3</v>
      </c>
    </row>
    <row r="436" spans="1:7" ht="12" customHeight="1" x14ac:dyDescent="0.2">
      <c r="A436" s="4">
        <v>435</v>
      </c>
      <c r="B436" s="5" t="s">
        <v>1746</v>
      </c>
      <c r="C436" s="6" t="s">
        <v>1747</v>
      </c>
      <c r="D436" s="12" t="str">
        <f ca="1">IFERROR(__xludf.DUMMYFUNCTION("GOOGLETRANSLATE(C:C, ""en"",""tr"")"),"Metil Metakrilat")</f>
        <v>Metil Metakrilat</v>
      </c>
      <c r="E436" s="7" t="s">
        <v>1748</v>
      </c>
      <c r="F436" s="7" t="s">
        <v>1749</v>
      </c>
      <c r="G436" s="7">
        <v>3</v>
      </c>
    </row>
    <row r="437" spans="1:7" ht="12" customHeight="1" x14ac:dyDescent="0.2">
      <c r="A437" s="4">
        <v>436</v>
      </c>
      <c r="B437" s="5" t="s">
        <v>1750</v>
      </c>
      <c r="C437" s="6" t="s">
        <v>1751</v>
      </c>
      <c r="D437" s="12" t="str">
        <f ca="1">IFERROR(__xludf.DUMMYFUNCTION("GOOGLETRANSLATE(C:C, ""en"",""tr"")"),"3-metil-3-metokibütanol")</f>
        <v>3-metil-3-metokibütanol</v>
      </c>
      <c r="E437" s="7" t="s">
        <v>1752</v>
      </c>
      <c r="F437" s="7" t="s">
        <v>1753</v>
      </c>
      <c r="G437" s="7">
        <v>3</v>
      </c>
    </row>
    <row r="438" spans="1:7" ht="12" customHeight="1" x14ac:dyDescent="0.2">
      <c r="A438" s="4">
        <v>437</v>
      </c>
      <c r="B438" s="5" t="s">
        <v>1754</v>
      </c>
      <c r="C438" s="6" t="s">
        <v>1755</v>
      </c>
      <c r="D438" s="12" t="str">
        <f ca="1">IFERROR(__xludf.DUMMYFUNCTION("GOOGLETRANSLATE(C:C, ""en"",""tr"")"),"Metil Naftalen (Erimiş)")</f>
        <v>Metil Naftalen (Erimiş)</v>
      </c>
      <c r="E438" s="7" t="s">
        <v>1756</v>
      </c>
      <c r="F438" s="7" t="s">
        <v>1757</v>
      </c>
      <c r="G438" s="7">
        <v>2</v>
      </c>
    </row>
    <row r="439" spans="1:7" ht="12" customHeight="1" x14ac:dyDescent="0.2">
      <c r="A439" s="4">
        <v>438</v>
      </c>
      <c r="B439" s="5" t="s">
        <v>1758</v>
      </c>
      <c r="C439" s="6" t="s">
        <v>1759</v>
      </c>
      <c r="D439" s="12" t="str">
        <f ca="1">IFERROR(__xludf.DUMMYFUNCTION("GOOGLETRANSLATE(C:C, ""en"",""tr"")"),"Metil propil keton")</f>
        <v>Metil propil keton</v>
      </c>
      <c r="E439" s="7" t="s">
        <v>1760</v>
      </c>
      <c r="F439" s="7" t="s">
        <v>1761</v>
      </c>
      <c r="G439" s="7">
        <v>3</v>
      </c>
    </row>
    <row r="440" spans="1:7" ht="12" customHeight="1" x14ac:dyDescent="0.2">
      <c r="A440" s="4">
        <v>439</v>
      </c>
      <c r="B440" s="5" t="s">
        <v>1762</v>
      </c>
      <c r="C440" s="6" t="s">
        <v>1763</v>
      </c>
      <c r="D440" s="12" t="str">
        <f ca="1">IFERROR(__xludf.DUMMYFUNCTION("GOOGLETRANSLATE(C:C, ""en"",""tr"")"),"2-metilpiridin")</f>
        <v>2-metilpiridin</v>
      </c>
      <c r="E440" s="7" t="s">
        <v>1764</v>
      </c>
      <c r="F440" s="7" t="s">
        <v>1765</v>
      </c>
      <c r="G440" s="7">
        <v>3</v>
      </c>
    </row>
    <row r="441" spans="1:7" ht="12" customHeight="1" x14ac:dyDescent="0.2">
      <c r="A441" s="4">
        <v>440</v>
      </c>
      <c r="B441" s="5" t="s">
        <v>1766</v>
      </c>
      <c r="C441" s="6" t="s">
        <v>1767</v>
      </c>
      <c r="D441" s="12" t="str">
        <f ca="1">IFERROR(__xludf.DUMMYFUNCTION("GOOGLETRANSLATE(C:C, ""en"",""tr"")"),"3-metilpiridin")</f>
        <v>3-metilpiridin</v>
      </c>
      <c r="E441" s="7" t="s">
        <v>1768</v>
      </c>
      <c r="F441" s="7" t="s">
        <v>1769</v>
      </c>
      <c r="G441" s="7">
        <v>3</v>
      </c>
    </row>
    <row r="442" spans="1:7" ht="12" customHeight="1" x14ac:dyDescent="0.2">
      <c r="A442" s="4">
        <v>441</v>
      </c>
      <c r="B442" s="5" t="s">
        <v>1770</v>
      </c>
      <c r="C442" s="6" t="s">
        <v>1771</v>
      </c>
      <c r="D442" s="12" t="str">
        <f ca="1">IFERROR(__xludf.DUMMYFUNCTION("GOOGLETRANSLATE(C:C, ""en"",""tr"")"),"4-metilpiridin")</f>
        <v>4-metilpiridin</v>
      </c>
      <c r="E442" s="7" t="s">
        <v>1772</v>
      </c>
      <c r="F442" s="7" t="s">
        <v>1773</v>
      </c>
      <c r="G442" s="7">
        <v>3</v>
      </c>
    </row>
    <row r="443" spans="1:7" ht="12" customHeight="1" x14ac:dyDescent="0.2">
      <c r="A443" s="4">
        <v>442</v>
      </c>
      <c r="B443" s="5" t="s">
        <v>1774</v>
      </c>
      <c r="C443" s="6" t="s">
        <v>1775</v>
      </c>
      <c r="D443" s="12" t="str">
        <f ca="1">IFERROR(__xludf.DUMMYFUNCTION("GOOGLETRANSLATE(C:C, ""en"",""tr"")"),"N-metil-2-pirolidon")</f>
        <v>N-metil-2-pirolidon</v>
      </c>
      <c r="E443" s="7" t="s">
        <v>1776</v>
      </c>
      <c r="F443" s="7" t="s">
        <v>1777</v>
      </c>
      <c r="G443" s="7">
        <v>3</v>
      </c>
    </row>
    <row r="444" spans="1:7" ht="12" customHeight="1" x14ac:dyDescent="0.2">
      <c r="A444" s="4">
        <v>443</v>
      </c>
      <c r="B444" s="5" t="s">
        <v>1778</v>
      </c>
      <c r="C444" s="6" t="s">
        <v>1779</v>
      </c>
      <c r="D444" s="12" t="str">
        <f ca="1">IFERROR(__xludf.DUMMYFUNCTION("GOOGLETRANSLATE(C:C, ""en"",""tr"")"),"Metil salisilat")</f>
        <v>Metil salisilat</v>
      </c>
      <c r="E444" s="7" t="s">
        <v>1780</v>
      </c>
      <c r="F444" s="7" t="s">
        <v>1781</v>
      </c>
      <c r="G444" s="7">
        <v>3</v>
      </c>
    </row>
    <row r="445" spans="1:7" ht="12" customHeight="1" x14ac:dyDescent="0.2">
      <c r="A445" s="4">
        <v>444</v>
      </c>
      <c r="B445" s="5" t="s">
        <v>1782</v>
      </c>
      <c r="C445" s="6" t="s">
        <v>1783</v>
      </c>
      <c r="D445" s="12" t="str">
        <f ca="1">IFERROR(__xludf.DUMMYFUNCTION("GOOGLETRANSLATE(C:C, ""en"",""tr"")"),"Alfa-metilstiren")</f>
        <v>Alfa-metilstiren</v>
      </c>
      <c r="E445" s="7" t="s">
        <v>1784</v>
      </c>
      <c r="F445" s="7" t="s">
        <v>1785</v>
      </c>
      <c r="G445" s="7">
        <v>2</v>
      </c>
    </row>
    <row r="446" spans="1:7" ht="12" customHeight="1" x14ac:dyDescent="0.2">
      <c r="A446" s="4">
        <v>445</v>
      </c>
      <c r="B446" s="5" t="s">
        <v>1786</v>
      </c>
      <c r="C446" s="6" t="s">
        <v>1787</v>
      </c>
      <c r="D446" s="12" t="str">
        <f ca="1">IFERROR(__xludf.DUMMYFUNCTION("GOOGLETRANSLATE(C:C, ""en"",""tr"")"),"3- (Metiltiyo) Propiyonaldehit")</f>
        <v>3- (Metiltiyo) Propiyonaldehit</v>
      </c>
      <c r="E446" s="7" t="s">
        <v>1788</v>
      </c>
      <c r="F446" s="7" t="s">
        <v>1789</v>
      </c>
      <c r="G446" s="7">
        <v>2</v>
      </c>
    </row>
    <row r="447" spans="1:7" ht="12" customHeight="1" x14ac:dyDescent="0.2">
      <c r="A447" s="4">
        <v>446</v>
      </c>
      <c r="B447" s="5" t="s">
        <v>1790</v>
      </c>
      <c r="C447" s="6" t="s">
        <v>1791</v>
      </c>
      <c r="D447" s="12" t="str">
        <f ca="1">IFERROR(__xludf.DUMMYFUNCTION("GOOGLETRANSLATE(C:C, ""en"",""tr"")"),"Molibden Polisülfit Uzun Zincir Alkil Ditiokarbamid Kompleksi")</f>
        <v>Molibden Polisülfit Uzun Zincir Alkil Ditiokarbamid Kompleksi</v>
      </c>
      <c r="E447" s="7" t="s">
        <v>1792</v>
      </c>
      <c r="F447" s="7" t="s">
        <v>1793</v>
      </c>
      <c r="G447" s="7">
        <v>2</v>
      </c>
    </row>
    <row r="448" spans="1:7" ht="12" customHeight="1" x14ac:dyDescent="0.2">
      <c r="A448" s="4">
        <v>447</v>
      </c>
      <c r="B448" s="5" t="s">
        <v>1794</v>
      </c>
      <c r="C448" s="6" t="s">
        <v>1794</v>
      </c>
      <c r="D448" s="12" t="str">
        <f ca="1">IFERROR(__xludf.DUMMYFUNCTION("GOOGLETRANSLATE(C:C, ""en"",""tr"")"),"Morfolin")</f>
        <v>Morfolin</v>
      </c>
      <c r="E448" s="7" t="s">
        <v>1795</v>
      </c>
      <c r="F448" s="7" t="s">
        <v>1796</v>
      </c>
      <c r="G448" s="7">
        <v>3</v>
      </c>
    </row>
    <row r="449" spans="1:7" ht="12" customHeight="1" x14ac:dyDescent="0.2">
      <c r="A449" s="4">
        <v>448</v>
      </c>
      <c r="B449" s="5" t="s">
        <v>1797</v>
      </c>
      <c r="C449" s="6" t="s">
        <v>1798</v>
      </c>
      <c r="D449" s="12" t="str">
        <f ca="1">IFERROR(__xludf.DUMMYFUNCTION("GOOGLETRANSLATE(C:C, ""en"",""tr"")"),"Motor yakıt vuruntusu önleyici bileşik (Kurşun Alkiller içeren)")</f>
        <v>Motor yakıt vuruntusu önleyici bileşik (Kurşun Alkiller içeren)</v>
      </c>
      <c r="E449" s="7" t="s">
        <v>1799</v>
      </c>
      <c r="F449" s="7" t="s">
        <v>1800</v>
      </c>
      <c r="G449" s="7">
        <v>1</v>
      </c>
    </row>
    <row r="450" spans="1:7" ht="12" customHeight="1" x14ac:dyDescent="0.2">
      <c r="A450" s="4">
        <v>449</v>
      </c>
      <c r="B450" s="5" t="s">
        <v>1801</v>
      </c>
      <c r="C450" s="6" t="s">
        <v>1802</v>
      </c>
      <c r="D450" s="12" t="str">
        <f ca="1">IFERROR(__xludf.DUMMYFUNCTION("GOOGLETRANSLATE(C:C, ""en"",""tr"")"),"Mirsen")</f>
        <v>Mirsen</v>
      </c>
      <c r="E450" s="7" t="s">
        <v>1803</v>
      </c>
      <c r="F450" s="7" t="s">
        <v>1804</v>
      </c>
      <c r="G450" s="7">
        <v>2</v>
      </c>
    </row>
    <row r="451" spans="1:7" ht="12" customHeight="1" x14ac:dyDescent="0.2">
      <c r="A451" s="4">
        <v>450</v>
      </c>
      <c r="B451" s="5" t="s">
        <v>1805</v>
      </c>
      <c r="C451" s="6" t="s">
        <v>1806</v>
      </c>
      <c r="D451" s="12" t="str">
        <f ca="1">IFERROR(__xludf.DUMMYFUNCTION("GOOGLETRANSLATE(C:C, ""en"",""tr"")"),"Naftalen (erimiş)")</f>
        <v>Naftalen (erimiş)</v>
      </c>
      <c r="E451" s="7" t="s">
        <v>1807</v>
      </c>
      <c r="F451" s="7" t="s">
        <v>1808</v>
      </c>
      <c r="G451" s="7">
        <v>2</v>
      </c>
    </row>
    <row r="452" spans="1:7" ht="12" customHeight="1" x14ac:dyDescent="0.2">
      <c r="A452" s="4">
        <v>451</v>
      </c>
      <c r="B452" s="5" t="s">
        <v>1809</v>
      </c>
      <c r="C452" s="6" t="s">
        <v>1810</v>
      </c>
      <c r="D452" s="12" t="str">
        <f ca="1">IFERROR(__xludf.DUMMYFUNCTION("GOOGLETRANSLATE(C:C, ""en"",""tr"")"),"Naftalen ham (erimiş)")</f>
        <v>Naftalen ham (erimiş)</v>
      </c>
      <c r="E452" s="7" t="s">
        <v>1811</v>
      </c>
      <c r="F452" s="7" t="s">
        <v>1812</v>
      </c>
      <c r="G452" s="7">
        <v>2</v>
      </c>
    </row>
    <row r="453" spans="1:7" ht="12" customHeight="1" x14ac:dyDescent="0.2">
      <c r="A453" s="4">
        <v>452</v>
      </c>
      <c r="B453" s="5" t="s">
        <v>1813</v>
      </c>
      <c r="C453" s="6" t="s">
        <v>1814</v>
      </c>
      <c r="D453" s="12" t="str">
        <f ca="1">IFERROR(__xludf.DUMMYFUNCTION("GOOGLETRANSLATE(C:C, ""en"",""tr"")"),"Naftalensülfonik asit-formaldehit kopolimer, sodyum tuz çözeltisi")</f>
        <v>Naftalensülfonik asit-formaldehit kopolimer, sodyum tuz çözeltisi</v>
      </c>
      <c r="E453" s="7" t="s">
        <v>1815</v>
      </c>
      <c r="F453" s="7" t="s">
        <v>1816</v>
      </c>
      <c r="G453" s="7">
        <v>3</v>
      </c>
    </row>
    <row r="454" spans="1:7" ht="12" customHeight="1" x14ac:dyDescent="0.2">
      <c r="A454" s="4">
        <v>453</v>
      </c>
      <c r="B454" s="5" t="s">
        <v>1817</v>
      </c>
      <c r="C454" s="6" t="s">
        <v>1818</v>
      </c>
      <c r="D454" s="12" t="str">
        <f ca="1">IFERROR(__xludf.DUMMYFUNCTION("GOOGLETRANSLATE(C:C, ""en"",""tr"")"),"Neodekanoik asit")</f>
        <v>Neodekanoik asit</v>
      </c>
      <c r="E454" s="7" t="s">
        <v>1819</v>
      </c>
      <c r="F454" s="7" t="s">
        <v>1820</v>
      </c>
      <c r="G454" s="7">
        <v>2</v>
      </c>
    </row>
    <row r="455" spans="1:7" ht="12" customHeight="1" x14ac:dyDescent="0.2">
      <c r="A455" s="4">
        <v>454</v>
      </c>
      <c r="B455" s="5" t="s">
        <v>1821</v>
      </c>
      <c r="C455" s="6" t="s">
        <v>1822</v>
      </c>
      <c r="D455" s="12" t="str">
        <f ca="1">IFERROR(__xludf.DUMMYFUNCTION("GOOGLETRANSLATE(C:C, ""en"",""tr"")"),"Nitratlayıcı asit (sülfürik ve nitrik asitlerin karışımı)")</f>
        <v>Nitratlayıcı asit (sülfürik ve nitrik asitlerin karışımı)</v>
      </c>
      <c r="E455" s="7" t="s">
        <v>1823</v>
      </c>
      <c r="F455" s="7" t="s">
        <v>1824</v>
      </c>
      <c r="G455" s="7">
        <v>1</v>
      </c>
    </row>
    <row r="456" spans="1:7" ht="12" customHeight="1" x14ac:dyDescent="0.2">
      <c r="A456" s="4">
        <v>455</v>
      </c>
      <c r="B456" s="5" t="s">
        <v>1825</v>
      </c>
      <c r="C456" s="6" t="s">
        <v>1826</v>
      </c>
      <c r="D456" s="12" t="str">
        <f ca="1">IFERROR(__xludf.DUMMYFUNCTION("GOOGLETRANSLATE(C:C, ""en"",""tr"")"),"Nitrik asit (%70 ve üzeri)")</f>
        <v>Nitrik asit (%70 ve üzeri)</v>
      </c>
      <c r="E456" s="7" t="s">
        <v>1827</v>
      </c>
      <c r="F456" s="7" t="s">
        <v>1828</v>
      </c>
      <c r="G456" s="7">
        <v>2</v>
      </c>
    </row>
    <row r="457" spans="1:7" ht="12" customHeight="1" x14ac:dyDescent="0.2">
      <c r="A457" s="4">
        <v>456</v>
      </c>
      <c r="B457" s="5" t="s">
        <v>1829</v>
      </c>
      <c r="C457" s="6" t="s">
        <v>1830</v>
      </c>
      <c r="D457" s="12" t="str">
        <f ca="1">IFERROR(__xludf.DUMMYFUNCTION("GOOGLETRANSLATE(C:C, ""en"",""tr"")"),"Nitrik asit (%70'den az)")</f>
        <v>Nitrik asit (%70'den az)</v>
      </c>
      <c r="E457" s="7" t="s">
        <v>1831</v>
      </c>
      <c r="F457" s="7" t="s">
        <v>1832</v>
      </c>
      <c r="G457" s="7">
        <v>2</v>
      </c>
    </row>
    <row r="458" spans="1:7" ht="12" customHeight="1" x14ac:dyDescent="0.2">
      <c r="A458" s="4">
        <v>457</v>
      </c>
      <c r="B458" s="5" t="s">
        <v>1833</v>
      </c>
      <c r="C458" s="6" t="s">
        <v>1834</v>
      </c>
      <c r="D458" s="12" t="str">
        <f ca="1">IFERROR(__xludf.DUMMYFUNCTION("GOOGLETRANSLATE(C:C, ""en"",""tr"")"),"Nitrilotriasetik asit, trisodyum tuz çözeltisi")</f>
        <v>Nitrilotriasetik asit, trisodyum tuz çözeltisi</v>
      </c>
      <c r="E458" s="7" t="s">
        <v>1835</v>
      </c>
      <c r="F458" s="7" t="s">
        <v>1836</v>
      </c>
      <c r="G458" s="7">
        <v>3</v>
      </c>
    </row>
    <row r="459" spans="1:7" ht="12" customHeight="1" x14ac:dyDescent="0.2">
      <c r="A459" s="4">
        <v>458</v>
      </c>
      <c r="B459" s="5" t="s">
        <v>1837</v>
      </c>
      <c r="C459" s="6" t="s">
        <v>1838</v>
      </c>
      <c r="D459" s="12" t="str">
        <f ca="1">IFERROR(__xludf.DUMMYFUNCTION("GOOGLETRANSLATE(C:C, ""en"",""tr"")"),"Nitrobenzen")</f>
        <v>Nitrobenzen</v>
      </c>
      <c r="E459" s="7" t="s">
        <v>1839</v>
      </c>
      <c r="F459" s="7" t="s">
        <v>1840</v>
      </c>
      <c r="G459" s="7">
        <v>2</v>
      </c>
    </row>
    <row r="460" spans="1:7" ht="12" customHeight="1" x14ac:dyDescent="0.2">
      <c r="A460" s="4">
        <v>459</v>
      </c>
      <c r="B460" s="5" t="s">
        <v>1841</v>
      </c>
      <c r="C460" s="6" t="s">
        <v>1842</v>
      </c>
      <c r="D460" s="12" t="str">
        <f ca="1">IFERROR(__xludf.DUMMYFUNCTION("GOOGLETRANSLATE(C:C, ""en"",""tr"")"),"Nitroetan")</f>
        <v>Nitroetan</v>
      </c>
      <c r="E460" s="7" t="s">
        <v>1843</v>
      </c>
      <c r="F460" s="7" t="s">
        <v>1844</v>
      </c>
      <c r="G460" s="7">
        <v>3</v>
      </c>
    </row>
    <row r="461" spans="1:7" ht="12" customHeight="1" x14ac:dyDescent="0.2">
      <c r="A461" s="4">
        <v>460</v>
      </c>
      <c r="B461" s="5" t="s">
        <v>1845</v>
      </c>
      <c r="C461" s="6" t="s">
        <v>1846</v>
      </c>
      <c r="D461" s="12" t="str">
        <f ca="1">IFERROR(__xludf.DUMMYFUNCTION("GOOGLETRANSLATE(C:C, ""en"",""tr"")"),"Nitroetan (%80) / nitropropan (%20)")</f>
        <v>Nitroetan (%80) / nitropropan (%20)</v>
      </c>
      <c r="E461" s="7" t="s">
        <v>1847</v>
      </c>
      <c r="F461" s="7" t="s">
        <v>1848</v>
      </c>
      <c r="G461" s="7">
        <v>3</v>
      </c>
    </row>
    <row r="462" spans="1:7" ht="12" customHeight="1" x14ac:dyDescent="0.2">
      <c r="A462" s="4">
        <v>461</v>
      </c>
      <c r="B462" s="5" t="s">
        <v>1849</v>
      </c>
      <c r="C462" s="6" t="s">
        <v>1850</v>
      </c>
      <c r="D462" s="12" t="str">
        <f ca="1">IFERROR(__xludf.DUMMYFUNCTION("GOOGLETRANSLATE(C:C, ""en"",""tr"")"),"Nitroetan, 1-nitropropan (herbiri 15 veya daha fazla) karışımı")</f>
        <v>Nitroetan, 1-nitropropan (herbiri 15 veya daha fazla) karışımı</v>
      </c>
      <c r="E462" s="7" t="s">
        <v>1851</v>
      </c>
      <c r="F462" s="7" t="s">
        <v>1852</v>
      </c>
      <c r="G462" s="7">
        <v>3</v>
      </c>
    </row>
    <row r="463" spans="1:7" ht="12" customHeight="1" x14ac:dyDescent="0.2">
      <c r="A463" s="4">
        <v>462</v>
      </c>
      <c r="B463" s="5" t="s">
        <v>1853</v>
      </c>
      <c r="C463" s="6" t="s">
        <v>1854</v>
      </c>
      <c r="D463" s="12" t="str">
        <f ca="1">IFERROR(__xludf.DUMMYFUNCTION("GOOGLETRANSLATE(C:C, ""en"",""tr"")"),"O-Nitrofenol (Erimiş)")</f>
        <v>O-Nitrofenol (Erimiş)</v>
      </c>
      <c r="E463" s="7" t="s">
        <v>1855</v>
      </c>
      <c r="F463" s="7" t="s">
        <v>1856</v>
      </c>
      <c r="G463" s="7">
        <v>2</v>
      </c>
    </row>
    <row r="464" spans="1:7" ht="12" customHeight="1" x14ac:dyDescent="0.2">
      <c r="A464" s="4">
        <v>463</v>
      </c>
      <c r="B464" s="5" t="s">
        <v>1857</v>
      </c>
      <c r="C464" s="6" t="s">
        <v>1858</v>
      </c>
      <c r="D464" s="12" t="str">
        <f ca="1">IFERROR(__xludf.DUMMYFUNCTION("GOOGLETRANSLATE(C:C, ""en"",""tr"")"),"1- veya 2 nitropropan")</f>
        <v>1- veya 2 nitropropan</v>
      </c>
      <c r="E464" s="7" t="s">
        <v>1859</v>
      </c>
      <c r="F464" s="7" t="s">
        <v>1860</v>
      </c>
      <c r="G464" s="7">
        <v>3</v>
      </c>
    </row>
    <row r="465" spans="1:7" ht="12" customHeight="1" x14ac:dyDescent="0.2">
      <c r="A465" s="4">
        <v>464</v>
      </c>
      <c r="B465" s="5" t="s">
        <v>1861</v>
      </c>
      <c r="C465" s="6" t="s">
        <v>1862</v>
      </c>
      <c r="D465" s="12" t="str">
        <f ca="1">IFERROR(__xludf.DUMMYFUNCTION("GOOGLETRANSLATE(C:C, ""en"",""tr"")"),"Nitropropan (%60) / Nitroetan (%40) Karışım")</f>
        <v>Nitropropan (%60) / Nitroetan (%40) Karışım</v>
      </c>
      <c r="E465" s="7" t="s">
        <v>1863</v>
      </c>
      <c r="F465" s="7" t="s">
        <v>1864</v>
      </c>
      <c r="G465" s="7">
        <v>2</v>
      </c>
    </row>
    <row r="466" spans="1:7" ht="12" customHeight="1" x14ac:dyDescent="0.2">
      <c r="A466" s="4">
        <v>465</v>
      </c>
      <c r="B466" s="5" t="s">
        <v>1865</v>
      </c>
      <c r="C466" s="6" t="s">
        <v>1866</v>
      </c>
      <c r="D466" s="12" t="str">
        <f ca="1">IFERROR(__xludf.DUMMYFUNCTION("GOOGLETRANSLATE(C:C, ""en"",""tr"")"),"O- veya P-Nitrotolüenler")</f>
        <v>O- veya P-Nitrotolüenler</v>
      </c>
      <c r="E466" s="7" t="s">
        <v>1867</v>
      </c>
      <c r="F466" s="7" t="s">
        <v>1868</v>
      </c>
      <c r="G466" s="7">
        <v>2</v>
      </c>
    </row>
    <row r="467" spans="1:7" ht="12" customHeight="1" x14ac:dyDescent="0.2">
      <c r="A467" s="4">
        <v>466</v>
      </c>
      <c r="B467" s="5" t="s">
        <v>1869</v>
      </c>
      <c r="C467" s="6" t="s">
        <v>1870</v>
      </c>
      <c r="D467" s="12" t="str">
        <f ca="1">IFERROR(__xludf.DUMMYFUNCTION("GOOGLETRANSLATE(C:C, ""en"",""tr"")"),"Nonan (tüm izomerler)")</f>
        <v>Nonan (tüm izomerler)</v>
      </c>
      <c r="E467" s="7" t="s">
        <v>1871</v>
      </c>
      <c r="F467" s="7" t="s">
        <v>1872</v>
      </c>
      <c r="G467" s="7">
        <v>2</v>
      </c>
    </row>
    <row r="468" spans="1:7" ht="12" customHeight="1" x14ac:dyDescent="0.2">
      <c r="A468" s="4">
        <v>467</v>
      </c>
      <c r="B468" s="5" t="s">
        <v>1873</v>
      </c>
      <c r="C468" s="6" t="s">
        <v>1874</v>
      </c>
      <c r="D468" s="12" t="str">
        <f ca="1">IFERROR(__xludf.DUMMYFUNCTION("GOOGLETRANSLATE(C:C, ""en"",""tr"")"),"Nonanoik asit (tüm izomerler)")</f>
        <v>Nonanoik asit (tüm izomerler)</v>
      </c>
      <c r="E468" s="7" t="s">
        <v>1875</v>
      </c>
      <c r="F468" s="7" t="s">
        <v>1876</v>
      </c>
      <c r="G468" s="7">
        <v>2</v>
      </c>
    </row>
    <row r="469" spans="1:7" ht="12" customHeight="1" x14ac:dyDescent="0.2">
      <c r="A469" s="4">
        <v>468</v>
      </c>
      <c r="B469" s="5" t="s">
        <v>1877</v>
      </c>
      <c r="C469" s="6" t="s">
        <v>1878</v>
      </c>
      <c r="D469" s="12" t="str">
        <f ca="1">IFERROR(__xludf.DUMMYFUNCTION("GOOGLETRANSLATE(C:C, ""en"",""tr"")"),"Yenilemeyen Endüstriyel Sınıf Palm Yağı")</f>
        <v>Yenilemeyen Endüstriyel Sınıf Palm Yağı</v>
      </c>
      <c r="E469" s="7" t="s">
        <v>1879</v>
      </c>
      <c r="F469" s="7" t="s">
        <v>1880</v>
      </c>
      <c r="G469" s="7">
        <v>2</v>
      </c>
    </row>
    <row r="470" spans="1:7" ht="12" customHeight="1" x14ac:dyDescent="0.2">
      <c r="A470" s="4">
        <v>469</v>
      </c>
      <c r="B470" s="5" t="s">
        <v>1881</v>
      </c>
      <c r="C470" s="6" t="s">
        <v>1882</v>
      </c>
      <c r="D470" s="12" t="str">
        <f ca="1">IFERROR(__xludf.DUMMYFUNCTION("GOOGLETRANSLATE(C:C, ""en"",""tr"")"),"Nonil alkol (tüm izomerler)")</f>
        <v>Nonil alkol (tüm izomerler)</v>
      </c>
      <c r="E470" s="7" t="s">
        <v>1883</v>
      </c>
      <c r="F470" s="7" t="s">
        <v>1884</v>
      </c>
      <c r="G470" s="7">
        <v>2</v>
      </c>
    </row>
    <row r="471" spans="1:7" ht="12" customHeight="1" x14ac:dyDescent="0.2">
      <c r="A471" s="4">
        <v>470</v>
      </c>
      <c r="B471" s="5" t="s">
        <v>1885</v>
      </c>
      <c r="C471" s="6" t="s">
        <v>1886</v>
      </c>
      <c r="D471" s="12" t="str">
        <f ca="1">IFERROR(__xludf.DUMMYFUNCTION("GOOGLETRANSLATE(C:C, ""en"",""tr"")"),"Nonil metakrilat monomer")</f>
        <v>Nonil metakrilat monomer</v>
      </c>
      <c r="E471" s="7" t="s">
        <v>1887</v>
      </c>
      <c r="F471" s="7" t="s">
        <v>1888</v>
      </c>
      <c r="G471" s="7">
        <v>2</v>
      </c>
    </row>
    <row r="472" spans="1:7" ht="12" customHeight="1" x14ac:dyDescent="0.2">
      <c r="A472" s="4">
        <v>471</v>
      </c>
      <c r="B472" s="5" t="s">
        <v>1889</v>
      </c>
      <c r="C472" s="6" t="s">
        <v>1890</v>
      </c>
      <c r="D472" s="12" t="str">
        <f ca="1">IFERROR(__xludf.DUMMYFUNCTION("GOOGLETRANSLATE(C:C, ""en"",""tr"")"),"Nonilfenol")</f>
        <v>Nonilfenol</v>
      </c>
      <c r="E472" s="7" t="s">
        <v>1891</v>
      </c>
      <c r="F472" s="7" t="s">
        <v>1892</v>
      </c>
      <c r="G472" s="7">
        <v>1</v>
      </c>
    </row>
    <row r="473" spans="1:7" ht="12" customHeight="1" x14ac:dyDescent="0.2">
      <c r="A473" s="4">
        <v>472</v>
      </c>
      <c r="B473" s="5" t="s">
        <v>1893</v>
      </c>
      <c r="C473" s="6" t="s">
        <v>1894</v>
      </c>
      <c r="D473" s="12" t="str">
        <f ca="1">IFERROR(__xludf.DUMMYFUNCTION("GOOGLETRANSLATE(C:C, ""en"",""tr"")"),"Nonilfenol poli (4+) etoksilat")</f>
        <v>Nonilfenol poli (4+) etoksilat</v>
      </c>
      <c r="E473" s="7" t="s">
        <v>1895</v>
      </c>
      <c r="F473" s="7" t="s">
        <v>1896</v>
      </c>
      <c r="G473" s="7">
        <v>2</v>
      </c>
    </row>
    <row r="474" spans="1:7" ht="12" customHeight="1" x14ac:dyDescent="0.2">
      <c r="A474" s="4">
        <v>473</v>
      </c>
      <c r="B474" s="5" t="s">
        <v>1897</v>
      </c>
      <c r="C474" s="6" t="s">
        <v>1898</v>
      </c>
      <c r="D474" s="12" t="str">
        <f ca="1">IFERROR(__xludf.DUMMYFUNCTION("GOOGLETRANSLATE(C:C, ""en"",""tr"")"),"Octanoik asit (tüm izomerler)")</f>
        <v>Octanoik asit (tüm izomerler)</v>
      </c>
      <c r="E474" s="7" t="s">
        <v>1899</v>
      </c>
      <c r="F474" s="7" t="s">
        <v>1900</v>
      </c>
      <c r="G474" s="7">
        <v>2</v>
      </c>
    </row>
    <row r="475" spans="1:7" ht="12" customHeight="1" x14ac:dyDescent="0.2">
      <c r="A475" s="4">
        <v>474</v>
      </c>
      <c r="B475" s="5" t="s">
        <v>1901</v>
      </c>
      <c r="C475" s="6" t="s">
        <v>1902</v>
      </c>
      <c r="D475" s="12" t="str">
        <f ca="1">IFERROR(__xludf.DUMMYFUNCTION("GOOGLETRANSLATE(C:C, ""en"",""tr"")"),"Octanol (tüm izomerler)")</f>
        <v>Octanol (tüm izomerler)</v>
      </c>
      <c r="E475" s="7" t="s">
        <v>1903</v>
      </c>
      <c r="F475" s="7" t="s">
        <v>1904</v>
      </c>
      <c r="G475" s="7">
        <v>2</v>
      </c>
    </row>
    <row r="476" spans="1:7" ht="12" customHeight="1" x14ac:dyDescent="0.2">
      <c r="A476" s="4">
        <v>475</v>
      </c>
      <c r="B476" s="5" t="s">
        <v>1905</v>
      </c>
      <c r="C476" s="6" t="s">
        <v>1906</v>
      </c>
      <c r="D476" s="12" t="str">
        <f ca="1">IFERROR(__xludf.DUMMYFUNCTION("GOOGLETRANSLATE(C:C, ""en"",""tr"")"),"N-Oktil Asetat")</f>
        <v>N-Oktil Asetat</v>
      </c>
      <c r="E476" s="7" t="s">
        <v>1907</v>
      </c>
      <c r="F476" s="7" t="s">
        <v>1908</v>
      </c>
      <c r="G476" s="7">
        <v>3</v>
      </c>
    </row>
    <row r="477" spans="1:7" ht="12" customHeight="1" x14ac:dyDescent="0.2">
      <c r="A477" s="4">
        <v>476</v>
      </c>
      <c r="B477" s="5" t="s">
        <v>1909</v>
      </c>
      <c r="C477" s="6" t="s">
        <v>1910</v>
      </c>
      <c r="D477" s="12" t="str">
        <f ca="1">IFERROR(__xludf.DUMMYFUNCTION("GOOGLETRANSLATE(C:C, ""en"",""tr"")"),"Oktil Aldehydes")</f>
        <v>Oktil Aldehydes</v>
      </c>
      <c r="E477" s="7" t="s">
        <v>1911</v>
      </c>
      <c r="F477" s="7" t="s">
        <v>1912</v>
      </c>
      <c r="G477" s="7">
        <v>2</v>
      </c>
    </row>
    <row r="478" spans="1:7" ht="12" customHeight="1" x14ac:dyDescent="0.2">
      <c r="A478" s="4">
        <v>477</v>
      </c>
      <c r="B478" s="5" t="s">
        <v>1913</v>
      </c>
      <c r="C478" s="6" t="s">
        <v>1914</v>
      </c>
      <c r="D478" s="12" t="str">
        <f ca="1">IFERROR(__xludf.DUMMYFUNCTION("GOOGLETRANSLATE(C:C, ""en"",""tr"")"),"Oktil Dekil Adipat")</f>
        <v>Oktil Dekil Adipat</v>
      </c>
      <c r="E478" s="7" t="s">
        <v>1915</v>
      </c>
      <c r="F478" s="7" t="s">
        <v>1916</v>
      </c>
      <c r="G478" s="7">
        <v>2</v>
      </c>
    </row>
    <row r="479" spans="1:7" ht="12" customHeight="1" x14ac:dyDescent="0.2">
      <c r="A479" s="4">
        <v>478</v>
      </c>
      <c r="B479" s="5" t="s">
        <v>1917</v>
      </c>
      <c r="C479" s="6" t="s">
        <v>1918</v>
      </c>
      <c r="D479" s="12" t="str">
        <f ca="1">IFERROR(__xludf.DUMMYFUNCTION("GOOGLETRANSLATE(C:C, ""en"",""tr"")"),"N-Oktil Merkaptan")</f>
        <v>N-Oktil Merkaptan</v>
      </c>
      <c r="E479" s="7" t="s">
        <v>1919</v>
      </c>
      <c r="F479" s="7" t="s">
        <v>1920</v>
      </c>
      <c r="G479" s="7">
        <v>1</v>
      </c>
    </row>
    <row r="480" spans="1:7" ht="12" customHeight="1" x14ac:dyDescent="0.2">
      <c r="A480" s="4">
        <v>479</v>
      </c>
      <c r="B480" s="5" t="s">
        <v>1921</v>
      </c>
      <c r="C480" s="6" t="s">
        <v>1922</v>
      </c>
      <c r="D480" s="12" t="str">
        <f ca="1">IFERROR(__xludf.DUMMYFUNCTION("GOOGLETRANSLATE(C:C, ""en"",""tr"")"),"Açıkta kirletilmiş dökme sıvı S *")</f>
        <v>Açıkta kirletilmiş dökme sıvı S *</v>
      </c>
      <c r="E480" s="7" t="s">
        <v>1923</v>
      </c>
      <c r="F480" s="7" t="s">
        <v>1924</v>
      </c>
      <c r="G480" s="7">
        <v>2</v>
      </c>
    </row>
    <row r="481" spans="1:7" ht="12" customHeight="1" x14ac:dyDescent="0.2">
      <c r="A481" s="4">
        <v>480</v>
      </c>
      <c r="B481" s="5" t="s">
        <v>1925</v>
      </c>
      <c r="C481" s="6" t="s">
        <v>1926</v>
      </c>
      <c r="D481" s="12" t="str">
        <f ca="1">IFERROR(__xludf.DUMMYFUNCTION("GOOGLETRANSLATE(C:C, ""en"",""tr"")"),"Olefin karışımları (C5-C7)")</f>
        <v>Olefin karışımları (C5-C7)</v>
      </c>
      <c r="E481" s="7" t="s">
        <v>1927</v>
      </c>
      <c r="F481" s="7" t="s">
        <v>1928</v>
      </c>
      <c r="G481" s="7">
        <v>3</v>
      </c>
    </row>
    <row r="482" spans="1:7" ht="12" customHeight="1" x14ac:dyDescent="0.2">
      <c r="A482" s="4">
        <v>481</v>
      </c>
      <c r="B482" s="5" t="s">
        <v>1929</v>
      </c>
      <c r="C482" s="6" t="s">
        <v>1930</v>
      </c>
      <c r="D482" s="12" t="str">
        <f ca="1">IFERROR(__xludf.DUMMYFUNCTION("GOOGLETRANSLATE(C:C, ""en"",""tr"")"),"Olefin karışımları (C5-C15)")</f>
        <v>Olefin karışımları (C5-C15)</v>
      </c>
      <c r="E482" s="7" t="s">
        <v>1931</v>
      </c>
      <c r="F482" s="7" t="s">
        <v>1932</v>
      </c>
      <c r="G482" s="7">
        <v>2</v>
      </c>
    </row>
    <row r="483" spans="1:7" ht="12" customHeight="1" x14ac:dyDescent="0.2">
      <c r="A483" s="4">
        <v>482</v>
      </c>
      <c r="B483" s="5" t="s">
        <v>1933</v>
      </c>
      <c r="C483" s="6" t="s">
        <v>1934</v>
      </c>
      <c r="D483" s="12" t="str">
        <f ca="1">IFERROR(__xludf.DUMMYFUNCTION("GOOGLETRANSLATE(C:C, ""en"",""tr"")"),"Alpha-olefins (C6-C18) karışımları")</f>
        <v>Alpha-olefins (C6-C18) karışımları</v>
      </c>
      <c r="E483" s="7" t="s">
        <v>1935</v>
      </c>
      <c r="F483" s="7" t="s">
        <v>1936</v>
      </c>
      <c r="G483" s="7">
        <v>2</v>
      </c>
    </row>
    <row r="484" spans="1:7" ht="12" customHeight="1" x14ac:dyDescent="0.2">
      <c r="A484" s="4">
        <v>483</v>
      </c>
      <c r="B484" s="5" t="s">
        <v>1937</v>
      </c>
      <c r="C484" s="6" t="s">
        <v>1938</v>
      </c>
      <c r="D484" s="12" t="str">
        <f ca="1">IFERROR(__xludf.DUMMYFUNCTION("GOOGLETRANSLATE(C:C, ""en"",""tr"")"),"Oleik Asit")</f>
        <v>Oleik Asit</v>
      </c>
      <c r="E484" s="7" t="s">
        <v>1939</v>
      </c>
      <c r="F484" s="7" t="s">
        <v>1940</v>
      </c>
      <c r="G484" s="7">
        <v>2</v>
      </c>
    </row>
    <row r="485" spans="1:7" ht="12" customHeight="1" x14ac:dyDescent="0.2">
      <c r="A485" s="4">
        <v>484</v>
      </c>
      <c r="B485" s="5" t="s">
        <v>1941</v>
      </c>
      <c r="C485" s="6" t="s">
        <v>1942</v>
      </c>
      <c r="D485" s="12" t="str">
        <f ca="1">IFERROR(__xludf.DUMMYFUNCTION("GOOGLETRANSLATE(C:C, ""en"",""tr"")"),"Oleum")</f>
        <v>Oleum</v>
      </c>
      <c r="E485" s="7" t="s">
        <v>1943</v>
      </c>
      <c r="F485" s="7" t="s">
        <v>1944</v>
      </c>
      <c r="G485" s="7">
        <v>2</v>
      </c>
    </row>
    <row r="486" spans="1:7" ht="12" customHeight="1" x14ac:dyDescent="0.2">
      <c r="A486" s="4">
        <v>485</v>
      </c>
      <c r="B486" s="5" t="s">
        <v>1945</v>
      </c>
      <c r="C486" s="6" t="s">
        <v>1946</v>
      </c>
      <c r="D486" s="12" t="str">
        <f ca="1">IFERROR(__xludf.DUMMYFUNCTION("GOOGLETRANSLATE(C:C, ""en"",""tr"")"),"Oleyamin")</f>
        <v>Oleyamin</v>
      </c>
      <c r="E486" s="7" t="s">
        <v>1947</v>
      </c>
      <c r="F486" s="7" t="s">
        <v>1948</v>
      </c>
      <c r="G486" s="7">
        <v>2</v>
      </c>
    </row>
    <row r="487" spans="1:7" ht="12" customHeight="1" x14ac:dyDescent="0.2">
      <c r="A487" s="4">
        <v>486</v>
      </c>
      <c r="B487" s="5" t="s">
        <v>1949</v>
      </c>
      <c r="C487" s="6" t="s">
        <v>1950</v>
      </c>
      <c r="D487" s="12" t="str">
        <f ca="1">IFERROR(__xludf.DUMMYFUNCTION("GOOGLETRANSLATE(C:C, ""en"",""tr"")"),"Zeytinyağı")</f>
        <v>Zeytinyağı</v>
      </c>
      <c r="E487" s="7" t="s">
        <v>1951</v>
      </c>
      <c r="F487" s="7" t="s">
        <v>1952</v>
      </c>
      <c r="G487" s="7" t="s">
        <v>1953</v>
      </c>
    </row>
    <row r="488" spans="1:7" ht="12" customHeight="1" x14ac:dyDescent="0.2">
      <c r="A488" s="4">
        <v>487</v>
      </c>
      <c r="B488" s="5" t="s">
        <v>1954</v>
      </c>
      <c r="C488" s="6" t="s">
        <v>1955</v>
      </c>
      <c r="D488" s="12" t="str">
        <f ca="1">IFERROR(__xludf.DUMMYFUNCTION("GOOGLETRANSLATE(C:C, ""en"",""tr"")"),"Oksijenli alifatik hidrokarbon karışımı")</f>
        <v>Oksijenli alifatik hidrokarbon karışımı</v>
      </c>
      <c r="E488" s="7" t="s">
        <v>1956</v>
      </c>
      <c r="F488" s="7" t="s">
        <v>1957</v>
      </c>
      <c r="G488" s="7">
        <v>3</v>
      </c>
    </row>
    <row r="489" spans="1:7" ht="12" customHeight="1" x14ac:dyDescent="0.2">
      <c r="A489" s="4">
        <v>488</v>
      </c>
      <c r="B489" s="5" t="s">
        <v>1958</v>
      </c>
      <c r="C489" s="6" t="s">
        <v>1959</v>
      </c>
      <c r="D489" s="12" t="str">
        <f ca="1">IFERROR(__xludf.DUMMYFUNCTION("GOOGLETRANSLATE(C:C, ""en"",""tr"")"),"Palmiye asidi yağı")</f>
        <v>Palmiye asidi yağı</v>
      </c>
      <c r="E489" s="7" t="s">
        <v>1960</v>
      </c>
      <c r="F489" s="7" t="s">
        <v>1961</v>
      </c>
      <c r="G489" s="7">
        <v>2</v>
      </c>
    </row>
    <row r="490" spans="1:7" ht="12" customHeight="1" x14ac:dyDescent="0.2">
      <c r="A490" s="4">
        <v>489</v>
      </c>
      <c r="B490" s="5" t="s">
        <v>1962</v>
      </c>
      <c r="C490" s="6" t="s">
        <v>1963</v>
      </c>
      <c r="D490" s="12" t="str">
        <f ca="1">IFERROR(__xludf.DUMMYFUNCTION("GOOGLETRANSLATE(C:C, ""en"",""tr"")"),"Palmiye yağ asidi distilat")</f>
        <v>Palmiye yağ asidi distilat</v>
      </c>
      <c r="E490" s="7" t="s">
        <v>1964</v>
      </c>
      <c r="F490" s="7" t="s">
        <v>1965</v>
      </c>
      <c r="G490" s="7">
        <v>2</v>
      </c>
    </row>
    <row r="491" spans="1:7" ht="12" customHeight="1" x14ac:dyDescent="0.2">
      <c r="A491" s="4">
        <v>490</v>
      </c>
      <c r="B491" s="5" t="s">
        <v>1966</v>
      </c>
      <c r="C491" s="6" t="s">
        <v>1967</v>
      </c>
      <c r="D491" s="12" t="str">
        <f ca="1">IFERROR(__xludf.DUMMYFUNCTION("GOOGLETRANSLATE(C:C, ""en"",""tr"")"),"Palmiye çekirdeği asit yağı")</f>
        <v>Palmiye çekirdeği asit yağı</v>
      </c>
      <c r="E491" s="7" t="s">
        <v>1968</v>
      </c>
      <c r="F491" s="7" t="s">
        <v>1969</v>
      </c>
      <c r="G491" s="7">
        <v>2</v>
      </c>
    </row>
    <row r="492" spans="1:7" ht="12" customHeight="1" x14ac:dyDescent="0.2">
      <c r="A492" s="4">
        <v>491</v>
      </c>
      <c r="B492" s="5" t="s">
        <v>1970</v>
      </c>
      <c r="C492" s="6" t="s">
        <v>1971</v>
      </c>
      <c r="D492" s="12" t="str">
        <f ca="1">IFERROR(__xludf.DUMMYFUNCTION("GOOGLETRANSLATE(C:C, ""en"",""tr"")"),"Palmiye çekirdeği yağ asidi distilat")</f>
        <v>Palmiye çekirdeği yağ asidi distilat</v>
      </c>
      <c r="E492" s="7" t="s">
        <v>1972</v>
      </c>
      <c r="F492" s="7" t="s">
        <v>1973</v>
      </c>
      <c r="G492" s="7">
        <v>2</v>
      </c>
    </row>
    <row r="493" spans="1:7" ht="12" customHeight="1" x14ac:dyDescent="0.2">
      <c r="A493" s="4">
        <v>492</v>
      </c>
      <c r="B493" s="5" t="s">
        <v>1974</v>
      </c>
      <c r="C493" s="6" t="s">
        <v>1975</v>
      </c>
      <c r="D493" s="12" t="str">
        <f ca="1">IFERROR(__xludf.DUMMYFUNCTION("GOOGLETRANSLATE(C:C, ""en"",""tr"")"),"Palmiye çekirdek yağı")</f>
        <v>Palmiye çekirdek yağı</v>
      </c>
      <c r="E493" s="7" t="s">
        <v>1976</v>
      </c>
      <c r="F493" s="7" t="s">
        <v>1977</v>
      </c>
      <c r="G493" s="7" t="s">
        <v>1978</v>
      </c>
    </row>
    <row r="494" spans="1:7" ht="12" customHeight="1" x14ac:dyDescent="0.2">
      <c r="A494" s="4">
        <v>493</v>
      </c>
      <c r="B494" s="5" t="s">
        <v>1979</v>
      </c>
      <c r="C494" s="6" t="s">
        <v>1980</v>
      </c>
      <c r="D494" s="12" t="str">
        <f ca="1">IFERROR(__xludf.DUMMYFUNCTION("GOOGLETRANSLATE(C:C, ""en"",""tr"")"),"Parafin Balmumu, Yarı Rafine")</f>
        <v>Parafin Balmumu, Yarı Rafine</v>
      </c>
      <c r="E494" s="7" t="s">
        <v>1981</v>
      </c>
      <c r="F494" s="7" t="s">
        <v>1982</v>
      </c>
      <c r="G494" s="7">
        <v>2</v>
      </c>
    </row>
    <row r="495" spans="1:7" ht="12" customHeight="1" x14ac:dyDescent="0.2">
      <c r="A495" s="4">
        <v>494</v>
      </c>
      <c r="B495" s="5" t="s">
        <v>1983</v>
      </c>
      <c r="C495" s="6" t="s">
        <v>1984</v>
      </c>
      <c r="D495" s="12" t="str">
        <f ca="1">IFERROR(__xludf.DUMMYFUNCTION("GOOGLETRANSLATE(C:C, ""en"",""tr"")"),"Paraldehit")</f>
        <v>Paraldehit</v>
      </c>
      <c r="E495" s="7" t="s">
        <v>1985</v>
      </c>
      <c r="F495" s="7" t="s">
        <v>1986</v>
      </c>
      <c r="G495" s="7">
        <v>3</v>
      </c>
    </row>
    <row r="496" spans="1:7" ht="12" customHeight="1" x14ac:dyDescent="0.2">
      <c r="A496" s="4">
        <v>495</v>
      </c>
      <c r="B496" s="5" t="s">
        <v>1987</v>
      </c>
      <c r="C496" s="6" t="s">
        <v>1988</v>
      </c>
      <c r="D496" s="12" t="str">
        <f ca="1">IFERROR(__xludf.DUMMYFUNCTION("GOOGLETRANSLATE(C:C, ""en"",""tr"")"),"Paraldehit-amonyak reaksiyonu ürünü")</f>
        <v>Paraldehit-amonyak reaksiyonu ürünü</v>
      </c>
      <c r="E496" s="7" t="s">
        <v>1989</v>
      </c>
      <c r="F496" s="7" t="s">
        <v>1990</v>
      </c>
      <c r="G496" s="7">
        <v>2</v>
      </c>
    </row>
    <row r="497" spans="1:7" ht="12" customHeight="1" x14ac:dyDescent="0.2">
      <c r="A497" s="4">
        <v>496</v>
      </c>
      <c r="B497" s="5" t="s">
        <v>1991</v>
      </c>
      <c r="C497" s="6" t="s">
        <v>1992</v>
      </c>
      <c r="D497" s="12" t="str">
        <f ca="1">IFERROR(__xludf.DUMMYFUNCTION("GOOGLETRANSLATE(C:C, ""en"",""tr"")"),"Pentachloroetan")</f>
        <v>Pentachloroetan</v>
      </c>
      <c r="E497" s="7" t="s">
        <v>1993</v>
      </c>
      <c r="F497" s="7" t="s">
        <v>1994</v>
      </c>
      <c r="G497" s="7">
        <v>2</v>
      </c>
    </row>
    <row r="498" spans="1:7" ht="12" customHeight="1" x14ac:dyDescent="0.2">
      <c r="A498" s="4">
        <v>497</v>
      </c>
      <c r="B498" s="5" t="s">
        <v>1995</v>
      </c>
      <c r="C498" s="6" t="s">
        <v>1996</v>
      </c>
      <c r="D498" s="12" t="str">
        <f ca="1">IFERROR(__xludf.DUMMYFUNCTION("GOOGLETRANSLATE(C:C, ""en"",""tr"")"),"1,3-pentadien (%50'den büyük), siklopenten ve izomerler, karışımlar")</f>
        <v>1,3-pentadien (%50'den büyük), siklopenten ve izomerler, karışımlar</v>
      </c>
      <c r="E498" s="7" t="s">
        <v>1997</v>
      </c>
      <c r="F498" s="7" t="s">
        <v>1998</v>
      </c>
      <c r="G498" s="7">
        <v>2</v>
      </c>
    </row>
    <row r="499" spans="1:7" ht="12" customHeight="1" x14ac:dyDescent="0.2">
      <c r="A499" s="4">
        <v>498</v>
      </c>
      <c r="B499" s="5" t="s">
        <v>1999</v>
      </c>
      <c r="C499" s="6" t="s">
        <v>2000</v>
      </c>
      <c r="D499" s="12" t="str">
        <f ca="1">IFERROR(__xludf.DUMMYFUNCTION("GOOGLETRANSLATE(C:C, ""en"",""tr"")"),"Pentaethylenehexamine")</f>
        <v>Pentaethylenehexamine</v>
      </c>
      <c r="E499" s="7" t="s">
        <v>2001</v>
      </c>
      <c r="F499" s="7" t="s">
        <v>2002</v>
      </c>
      <c r="G499" s="7">
        <v>2</v>
      </c>
    </row>
    <row r="500" spans="1:7" ht="12" customHeight="1" x14ac:dyDescent="0.2">
      <c r="A500" s="4">
        <v>499</v>
      </c>
      <c r="B500" s="5" t="s">
        <v>2003</v>
      </c>
      <c r="C500" s="6" t="s">
        <v>2004</v>
      </c>
      <c r="D500" s="12" t="str">
        <f ca="1">IFERROR(__xludf.DUMMYFUNCTION("GOOGLETRANSLATE(C:C, ""en"",""tr"")"),"Pentanoik asit")</f>
        <v>Pentanoik asit</v>
      </c>
      <c r="E500" s="7" t="s">
        <v>2005</v>
      </c>
      <c r="F500" s="7" t="s">
        <v>2006</v>
      </c>
      <c r="G500" s="7">
        <v>2</v>
      </c>
    </row>
    <row r="501" spans="1:7" ht="12" customHeight="1" x14ac:dyDescent="0.2">
      <c r="A501" s="4">
        <v>500</v>
      </c>
      <c r="B501" s="5" t="s">
        <v>2007</v>
      </c>
      <c r="C501" s="6" t="s">
        <v>2008</v>
      </c>
      <c r="D501" s="12" t="str">
        <f ca="1">IFERROR(__xludf.DUMMYFUNCTION("GOOGLETRANSLATE(C:C, ""en"",""tr"")"),"N-pentanoik asit (%64) / 2-metil büirik asit (%36) karışımı")</f>
        <v>N-pentanoik asit (%64) / 2-metil büirik asit (%36) karışımı</v>
      </c>
      <c r="E501" s="7" t="s">
        <v>2009</v>
      </c>
      <c r="F501" s="7" t="s">
        <v>2010</v>
      </c>
      <c r="G501" s="7">
        <v>2</v>
      </c>
    </row>
    <row r="502" spans="1:7" ht="12" customHeight="1" x14ac:dyDescent="0.2">
      <c r="A502" s="4">
        <v>501</v>
      </c>
      <c r="B502" s="5" t="s">
        <v>2011</v>
      </c>
      <c r="C502" s="6" t="s">
        <v>2012</v>
      </c>
      <c r="D502" s="12" t="str">
        <f ca="1">IFERROR(__xludf.DUMMYFUNCTION("GOOGLETRANSLATE(C:C, ""en"",""tr"")"),"N-pentil propiyonat")</f>
        <v>N-pentil propiyonat</v>
      </c>
      <c r="E502" s="7" t="s">
        <v>2013</v>
      </c>
      <c r="F502" s="7" t="s">
        <v>2014</v>
      </c>
      <c r="G502" s="7">
        <v>3</v>
      </c>
    </row>
    <row r="503" spans="1:7" ht="12" customHeight="1" x14ac:dyDescent="0.2">
      <c r="A503" s="4">
        <v>502</v>
      </c>
      <c r="B503" s="5" t="s">
        <v>2015</v>
      </c>
      <c r="C503" s="6" t="s">
        <v>2016</v>
      </c>
      <c r="D503" s="12" t="str">
        <f ca="1">IFERROR(__xludf.DUMMYFUNCTION("GOOGLETRANSLATE(C:C, ""en"",""tr"")"),"Perkloretilen")</f>
        <v>Perkloretilen</v>
      </c>
      <c r="E503" s="7" t="s">
        <v>2017</v>
      </c>
      <c r="F503" s="7" t="s">
        <v>2018</v>
      </c>
      <c r="G503" s="7">
        <v>2</v>
      </c>
    </row>
    <row r="504" spans="1:7" ht="12" customHeight="1" x14ac:dyDescent="0.2">
      <c r="A504" s="4">
        <v>503</v>
      </c>
      <c r="B504" s="5" t="s">
        <v>2019</v>
      </c>
      <c r="C504" s="6" t="s">
        <v>2020</v>
      </c>
      <c r="D504" s="12" t="str">
        <f ca="1">IFERROR(__xludf.DUMMYFUNCTION("GOOGLETRANSLATE(C:C, ""en"",""tr"")"),"Fenol")</f>
        <v>Fenol</v>
      </c>
      <c r="E504" s="7" t="s">
        <v>2021</v>
      </c>
      <c r="F504" s="7" t="s">
        <v>2022</v>
      </c>
      <c r="G504" s="7">
        <v>2</v>
      </c>
    </row>
    <row r="505" spans="1:7" ht="12" customHeight="1" x14ac:dyDescent="0.2">
      <c r="A505" s="4">
        <v>504</v>
      </c>
      <c r="B505" s="5" t="s">
        <v>2023</v>
      </c>
      <c r="C505" s="6" t="s">
        <v>2024</v>
      </c>
      <c r="D505" s="12" t="str">
        <f ca="1">IFERROR(__xludf.DUMMYFUNCTION("GOOGLETRANSLATE(C:C, ""en"",""tr"")"),"1-fenil-1-xylil etan")</f>
        <v>1-fenil-1-xylil etan</v>
      </c>
      <c r="E505" s="7" t="s">
        <v>2025</v>
      </c>
      <c r="F505" s="7" t="s">
        <v>2026</v>
      </c>
      <c r="G505" s="7">
        <v>2</v>
      </c>
    </row>
    <row r="506" spans="1:7" ht="12" customHeight="1" x14ac:dyDescent="0.2">
      <c r="A506" s="4">
        <v>505</v>
      </c>
      <c r="B506" s="5" t="s">
        <v>2027</v>
      </c>
      <c r="C506" s="6" t="s">
        <v>2028</v>
      </c>
      <c r="D506" s="12" t="str">
        <f ca="1">IFERROR(__xludf.DUMMYFUNCTION("GOOGLETRANSLATE(C:C, ""en"",""tr"")"),"Fosfat Esterler, Alkil (C12-C14) Amin")</f>
        <v>Fosfat Esterler, Alkil (C12-C14) Amin</v>
      </c>
      <c r="E506" s="7" t="s">
        <v>2029</v>
      </c>
      <c r="F506" s="7" t="s">
        <v>2030</v>
      </c>
      <c r="G506" s="7">
        <v>2</v>
      </c>
    </row>
    <row r="507" spans="1:7" ht="12" customHeight="1" x14ac:dyDescent="0.2">
      <c r="A507" s="4">
        <v>506</v>
      </c>
      <c r="B507" s="5" t="s">
        <v>2031</v>
      </c>
      <c r="C507" s="6" t="s">
        <v>2032</v>
      </c>
      <c r="D507" s="12" t="str">
        <f ca="1">IFERROR(__xludf.DUMMYFUNCTION("GOOGLETRANSLATE(C:C, ""en"",""tr"")"),"Fosforik Asit")</f>
        <v>Fosforik Asit</v>
      </c>
      <c r="E507" s="7" t="s">
        <v>2033</v>
      </c>
      <c r="F507" s="7" t="s">
        <v>2034</v>
      </c>
      <c r="G507" s="7">
        <v>3</v>
      </c>
    </row>
    <row r="508" spans="1:7" ht="12" customHeight="1" x14ac:dyDescent="0.2">
      <c r="A508" s="4">
        <v>507</v>
      </c>
      <c r="B508" s="5" t="s">
        <v>2035</v>
      </c>
      <c r="C508" s="6" t="s">
        <v>2036</v>
      </c>
      <c r="D508" s="12" t="str">
        <f ca="1">IFERROR(__xludf.DUMMYFUNCTION("GOOGLETRANSLATE(C:C, ""en"",""tr"")"),"Fosfor, sarı veya beyaz (*)")</f>
        <v>Fosfor, sarı veya beyaz (*)</v>
      </c>
      <c r="E508" s="7" t="s">
        <v>2037</v>
      </c>
      <c r="F508" s="7" t="s">
        <v>2038</v>
      </c>
      <c r="G508" s="7">
        <v>1</v>
      </c>
    </row>
    <row r="509" spans="1:7" ht="12" customHeight="1" x14ac:dyDescent="0.2">
      <c r="A509" s="4">
        <v>508</v>
      </c>
      <c r="B509" s="5" t="s">
        <v>2039</v>
      </c>
      <c r="C509" s="6" t="s">
        <v>2040</v>
      </c>
      <c r="D509" s="12" t="str">
        <f ca="1">IFERROR(__xludf.DUMMYFUNCTION("GOOGLETRANSLATE(C:C, ""en"",""tr"")"),"Ftalik anhidrit (erimiş)")</f>
        <v>Ftalik anhidrit (erimiş)</v>
      </c>
      <c r="E509" s="7" t="s">
        <v>2041</v>
      </c>
      <c r="F509" s="7" t="s">
        <v>2042</v>
      </c>
      <c r="G509" s="7">
        <v>2</v>
      </c>
    </row>
    <row r="510" spans="1:7" ht="12" customHeight="1" x14ac:dyDescent="0.2">
      <c r="A510" s="4">
        <v>509</v>
      </c>
      <c r="B510" s="5" t="s">
        <v>2043</v>
      </c>
      <c r="C510" s="6" t="s">
        <v>2044</v>
      </c>
      <c r="D510" s="12" t="str">
        <f ca="1">IFERROR(__xludf.DUMMYFUNCTION("GOOGLETRANSLATE(C:C, ""en"",""tr"")"),"Alfa-pinen")</f>
        <v>Alfa-pinen</v>
      </c>
      <c r="E510" s="7" t="s">
        <v>2045</v>
      </c>
      <c r="F510" s="7" t="s">
        <v>2046</v>
      </c>
      <c r="G510" s="7">
        <v>2</v>
      </c>
    </row>
    <row r="511" spans="1:7" ht="12" customHeight="1" x14ac:dyDescent="0.2">
      <c r="A511" s="4">
        <v>510</v>
      </c>
      <c r="B511" s="5" t="s">
        <v>2047</v>
      </c>
      <c r="C511" s="6" t="s">
        <v>2048</v>
      </c>
      <c r="D511" s="12" t="str">
        <f ca="1">IFERROR(__xludf.DUMMYFUNCTION("GOOGLETRANSLATE(C:C, ""en"",""tr"")"),"Beta-pinen")</f>
        <v>Beta-pinen</v>
      </c>
      <c r="E511" s="7" t="s">
        <v>2049</v>
      </c>
      <c r="F511" s="7" t="s">
        <v>2050</v>
      </c>
      <c r="G511" s="7">
        <v>2</v>
      </c>
    </row>
    <row r="512" spans="1:7" ht="12" customHeight="1" x14ac:dyDescent="0.2">
      <c r="A512" s="4">
        <v>511</v>
      </c>
      <c r="B512" s="5" t="s">
        <v>2051</v>
      </c>
      <c r="C512" s="6" t="s">
        <v>2052</v>
      </c>
      <c r="D512" s="12" t="str">
        <f ca="1">IFERROR(__xludf.DUMMYFUNCTION("GOOGLETRANSLATE(C:C, ""en"",""tr"")"),"Çamyağı")</f>
        <v>Çamyağı</v>
      </c>
      <c r="E512" s="7" t="s">
        <v>2053</v>
      </c>
      <c r="F512" s="7" t="s">
        <v>2054</v>
      </c>
      <c r="G512" s="7">
        <v>2</v>
      </c>
    </row>
    <row r="513" spans="1:7" ht="12" customHeight="1" x14ac:dyDescent="0.2">
      <c r="A513" s="4">
        <v>512</v>
      </c>
      <c r="B513" s="5" t="s">
        <v>2055</v>
      </c>
      <c r="C513" s="6" t="s">
        <v>2056</v>
      </c>
      <c r="D513" s="12" t="str">
        <f ca="1">IFERROR(__xludf.DUMMYFUNCTION("GOOGLETRANSLATE(C:C, ""en"",""tr"")"),"Piperazin,% 68 Çözeltisi")</f>
        <v>Piperazin,% 68 Çözeltisi</v>
      </c>
      <c r="E513" s="7" t="s">
        <v>2057</v>
      </c>
      <c r="F513" s="7" t="s">
        <v>2058</v>
      </c>
      <c r="G513" s="7">
        <v>2</v>
      </c>
    </row>
    <row r="514" spans="1:7" ht="12" customHeight="1" x14ac:dyDescent="0.2">
      <c r="A514" s="4">
        <v>513</v>
      </c>
      <c r="B514" s="5" t="s">
        <v>2059</v>
      </c>
      <c r="C514" s="6" t="s">
        <v>2060</v>
      </c>
      <c r="D514" s="12" t="str">
        <f ca="1">IFERROR(__xludf.DUMMYFUNCTION("GOOGLETRANSLATE(C:C, ""en"",""tr"")"),"Poliakrilik asit çözeltisi (% 40 veya daha az)")</f>
        <v>Poliakrilik asit çözeltisi (% 40 veya daha az)</v>
      </c>
      <c r="E514" s="7" t="s">
        <v>2061</v>
      </c>
      <c r="F514" s="7" t="s">
        <v>2062</v>
      </c>
      <c r="G514" s="7">
        <v>3</v>
      </c>
    </row>
    <row r="515" spans="1:7" ht="12" customHeight="1" x14ac:dyDescent="0.2">
      <c r="A515" s="4">
        <v>514</v>
      </c>
      <c r="B515" s="5" t="s">
        <v>2063</v>
      </c>
      <c r="C515" s="6" t="s">
        <v>2064</v>
      </c>
      <c r="D515" s="12" t="str">
        <f ca="1">IFERROR(__xludf.DUMMYFUNCTION("GOOGLETRANSLATE(C:C, ""en"",""tr"")"),"Polialkil (C18-C22) ksilende akrilat")</f>
        <v>Polialkil (C18-C22) ksilende akrilat</v>
      </c>
      <c r="E515" s="7" t="s">
        <v>2065</v>
      </c>
      <c r="F515" s="7" t="s">
        <v>2066</v>
      </c>
      <c r="G515" s="7">
        <v>2</v>
      </c>
    </row>
    <row r="516" spans="1:7" ht="12" customHeight="1" x14ac:dyDescent="0.2">
      <c r="A516" s="4">
        <v>515</v>
      </c>
      <c r="B516" s="5" t="s">
        <v>2067</v>
      </c>
      <c r="C516" s="6" t="s">
        <v>2068</v>
      </c>
      <c r="D516" s="12" t="str">
        <f ca="1">IFERROR(__xludf.DUMMYFUNCTION("GOOGLETRANSLATE(C:C, ""en"",""tr"")"),"Polyaluminyum klorür çözeltisi")</f>
        <v>Polyaluminyum klorür çözeltisi</v>
      </c>
      <c r="E516" s="7" t="s">
        <v>2069</v>
      </c>
      <c r="F516" s="7" t="s">
        <v>2070</v>
      </c>
      <c r="G516" s="7">
        <v>3</v>
      </c>
    </row>
    <row r="517" spans="1:7" ht="12" customHeight="1" x14ac:dyDescent="0.2">
      <c r="A517" s="4">
        <v>516</v>
      </c>
      <c r="B517" s="5" t="s">
        <v>2071</v>
      </c>
      <c r="C517" s="6" t="s">
        <v>2072</v>
      </c>
      <c r="D517" s="12" t="str">
        <f ca="1">IFERROR(__xludf.DUMMYFUNCTION("GOOGLETRANSLATE(C:C, ""en"",""tr"")"),"Poli (2+) siklik aromatikler")</f>
        <v>Poli (2+) siklik aromatikler</v>
      </c>
      <c r="E517" s="7" t="s">
        <v>2073</v>
      </c>
      <c r="F517" s="7" t="s">
        <v>2074</v>
      </c>
      <c r="G517" s="7">
        <v>1</v>
      </c>
    </row>
    <row r="518" spans="1:7" ht="12" customHeight="1" x14ac:dyDescent="0.2">
      <c r="A518" s="4">
        <v>517</v>
      </c>
      <c r="B518" s="5" t="s">
        <v>2075</v>
      </c>
      <c r="C518" s="6" t="s">
        <v>2076</v>
      </c>
      <c r="D518" s="12" t="str">
        <f ca="1">IFERROR(__xludf.DUMMYFUNCTION("GOOGLETRANSLATE(C:C, ""en"",""tr"")"),"Polietilen glikol dimetil eter")</f>
        <v>Polietilen glikol dimetil eter</v>
      </c>
      <c r="E518" s="7" t="s">
        <v>2077</v>
      </c>
      <c r="F518" s="7" t="s">
        <v>2078</v>
      </c>
      <c r="G518" s="7">
        <v>3</v>
      </c>
    </row>
    <row r="519" spans="1:7" ht="12" customHeight="1" x14ac:dyDescent="0.2">
      <c r="A519" s="4">
        <v>518</v>
      </c>
      <c r="B519" s="5" t="s">
        <v>2079</v>
      </c>
      <c r="C519" s="6" t="s">
        <v>2080</v>
      </c>
      <c r="D519" s="12" t="str">
        <f ca="1">IFERROR(__xludf.DUMMYFUNCTION("GOOGLETRANSLATE(C:C, ""en"",""tr"")"),"Polietilen poliaminler")</f>
        <v>Polietilen poliaminler</v>
      </c>
      <c r="E519" s="7" t="s">
        <v>2081</v>
      </c>
      <c r="F519" s="7" t="s">
        <v>2082</v>
      </c>
      <c r="G519" s="7">
        <v>2</v>
      </c>
    </row>
    <row r="520" spans="1:7" ht="12" customHeight="1" x14ac:dyDescent="0.2">
      <c r="A520" s="4">
        <v>519</v>
      </c>
      <c r="B520" s="5" t="s">
        <v>2083</v>
      </c>
      <c r="C520" s="6" t="s">
        <v>2084</v>
      </c>
      <c r="D520" s="12" t="str">
        <f ca="1">IFERROR(__xludf.DUMMYFUNCTION("GOOGLETRANSLATE(C:C, ""en"",""tr"")"),"Polietilen poliaminler (%50'den fazla C5-C20 parafin yağı)")</f>
        <v>Polietilen poliaminler (%50'den fazla C5-C20 parafin yağı)</v>
      </c>
      <c r="E520" s="7" t="s">
        <v>2085</v>
      </c>
      <c r="F520" s="7" t="s">
        <v>2086</v>
      </c>
      <c r="G520" s="7">
        <v>2</v>
      </c>
    </row>
    <row r="521" spans="1:7" ht="12" customHeight="1" x14ac:dyDescent="0.2">
      <c r="A521" s="4">
        <v>520</v>
      </c>
      <c r="B521" s="5" t="s">
        <v>2087</v>
      </c>
      <c r="C521" s="6" t="s">
        <v>2088</v>
      </c>
      <c r="D521" s="12" t="str">
        <f ca="1">IFERROR(__xludf.DUMMYFUNCTION("GOOGLETRANSLATE(C:C, ""en"",""tr"")"),"Poliferrik sülfat çözeltisi")</f>
        <v>Poliferrik sülfat çözeltisi</v>
      </c>
      <c r="E521" s="7" t="s">
        <v>2089</v>
      </c>
      <c r="F521" s="7" t="s">
        <v>2090</v>
      </c>
      <c r="G521" s="7">
        <v>3</v>
      </c>
    </row>
    <row r="522" spans="1:7" ht="12" customHeight="1" x14ac:dyDescent="0.2">
      <c r="A522" s="4">
        <v>521</v>
      </c>
      <c r="B522" s="5" t="s">
        <v>2091</v>
      </c>
      <c r="C522" s="6" t="s">
        <v>2092</v>
      </c>
      <c r="D522" s="12" t="str">
        <f ca="1">IFERROR(__xludf.DUMMYFUNCTION("GOOGLETRANSLATE(C:C, ""en"",""tr"")"),"Poligliserin, sodyum tuz çözeltisi (% 3'ten az sodyum hidroksit içeren)")</f>
        <v>Poligliserin, sodyum tuz çözeltisi (% 3'ten az sodyum hidroksit içeren)</v>
      </c>
      <c r="E522" s="7" t="s">
        <v>2093</v>
      </c>
      <c r="F522" s="7" t="s">
        <v>2094</v>
      </c>
      <c r="G522" s="7">
        <v>2</v>
      </c>
    </row>
    <row r="523" spans="1:7" ht="12" customHeight="1" x14ac:dyDescent="0.2">
      <c r="A523" s="4">
        <v>522</v>
      </c>
      <c r="B523" s="5" t="s">
        <v>2095</v>
      </c>
      <c r="C523" s="6" t="s">
        <v>2096</v>
      </c>
      <c r="D523" s="12" t="str">
        <f ca="1">IFERROR(__xludf.DUMMYFUNCTION("GOOGLETRANSLATE(C:C, ""en"",""tr"")"),"Poli (Iminoetilen) -Graft-N-poli (etilenoksi) çözeltisi (%90 veya daha az)")</f>
        <v>Poli (Iminoetilen) -Graft-N-poli (etilenoksi) çözeltisi (%90 veya daha az)</v>
      </c>
      <c r="E523" s="7" t="s">
        <v>2097</v>
      </c>
      <c r="F523" s="7" t="s">
        <v>2098</v>
      </c>
      <c r="G523" s="7">
        <v>3</v>
      </c>
    </row>
    <row r="524" spans="1:7" ht="12" customHeight="1" x14ac:dyDescent="0.2">
      <c r="A524" s="4">
        <v>523</v>
      </c>
      <c r="B524" s="5" t="s">
        <v>2099</v>
      </c>
      <c r="C524" s="6" t="s">
        <v>2100</v>
      </c>
      <c r="D524" s="12" t="str">
        <f ca="1">IFERROR(__xludf.DUMMYFUNCTION("GOOGLETRANSLATE(C:C, ""en"",""tr"")"),"Alifatik (C10-C14) çözücü içinde poliizobütenamin")</f>
        <v>Alifatik (C10-C14) çözücü içinde poliizobütenamin</v>
      </c>
      <c r="E524" s="7" t="s">
        <v>2101</v>
      </c>
      <c r="F524" s="7" t="s">
        <v>2102</v>
      </c>
      <c r="G524" s="7">
        <v>2</v>
      </c>
    </row>
    <row r="525" spans="1:7" ht="12" customHeight="1" x14ac:dyDescent="0.2">
      <c r="A525" s="4">
        <v>524</v>
      </c>
      <c r="B525" s="5" t="s">
        <v>2103</v>
      </c>
      <c r="C525" s="6" t="s">
        <v>2104</v>
      </c>
      <c r="D525" s="12" t="str">
        <f ca="1">IFERROR(__xludf.DUMMYFUNCTION("GOOGLETRANSLATE(C:C, ""en"",""tr"")"),"(Poliizobüten) alifatik hidrokarbonlarda amino ürünleri")</f>
        <v>(Poliizobüten) alifatik hidrokarbonlarda amino ürünleri</v>
      </c>
      <c r="E525" s="7" t="s">
        <v>2105</v>
      </c>
      <c r="F525" s="7" t="s">
        <v>2106</v>
      </c>
      <c r="G525" s="7">
        <v>2</v>
      </c>
    </row>
    <row r="526" spans="1:7" ht="12" customHeight="1" x14ac:dyDescent="0.2">
      <c r="A526" s="4">
        <v>525</v>
      </c>
      <c r="B526" s="5" t="s">
        <v>2107</v>
      </c>
      <c r="C526" s="6" t="s">
        <v>2108</v>
      </c>
      <c r="D526" s="12" t="str">
        <f ca="1">IFERROR(__xludf.DUMMYFUNCTION("GOOGLETRANSLATE(C:C, ""en"",""tr"")"),"Poliizobütenil anhidrit eklentisi")</f>
        <v>Poliizobütenil anhidrit eklentisi</v>
      </c>
      <c r="E526" s="7" t="s">
        <v>2109</v>
      </c>
      <c r="F526" s="7" t="s">
        <v>2110</v>
      </c>
      <c r="G526" s="7">
        <v>3</v>
      </c>
    </row>
    <row r="527" spans="1:7" ht="12" customHeight="1" x14ac:dyDescent="0.2">
      <c r="A527" s="4">
        <v>526</v>
      </c>
      <c r="B527" s="5" t="s">
        <v>2111</v>
      </c>
      <c r="C527" s="6" t="s">
        <v>2112</v>
      </c>
      <c r="D527" s="12" t="str">
        <f ca="1">IFERROR(__xludf.DUMMYFUNCTION("GOOGLETRANSLATE(C:C, ""en"",""tr"")"),"Polimetilen polifenil izosiyanat")</f>
        <v>Polimetilen polifenil izosiyanat</v>
      </c>
      <c r="E527" s="7" t="s">
        <v>2113</v>
      </c>
      <c r="F527" s="7" t="s">
        <v>2114</v>
      </c>
      <c r="G527" s="7">
        <v>3</v>
      </c>
    </row>
    <row r="528" spans="1:7" ht="12" customHeight="1" x14ac:dyDescent="0.2">
      <c r="A528" s="4">
        <v>527</v>
      </c>
      <c r="B528" s="5" t="s">
        <v>2115</v>
      </c>
      <c r="C528" s="6" t="s">
        <v>2116</v>
      </c>
      <c r="D528" s="12" t="str">
        <f ca="1">IFERROR(__xludf.DUMMYFUNCTION("GOOGLETRANSLATE(C:C, ""en"",""tr"")"),"Poliolefin amid alkeneamine (C17+)")</f>
        <v>Poliolefin amid alkeneamine (C17+)</v>
      </c>
      <c r="E528" s="7" t="s">
        <v>2117</v>
      </c>
      <c r="F528" s="7" t="s">
        <v>2118</v>
      </c>
      <c r="G528" s="7">
        <v>2</v>
      </c>
    </row>
    <row r="529" spans="1:7" ht="12" customHeight="1" x14ac:dyDescent="0.2">
      <c r="A529" s="4">
        <v>528</v>
      </c>
      <c r="B529" s="5" t="s">
        <v>2119</v>
      </c>
      <c r="C529" s="6" t="s">
        <v>2120</v>
      </c>
      <c r="D529" s="12" t="str">
        <f ca="1">IFERROR(__xludf.DUMMYFUNCTION("GOOGLETRANSLATE(C:C, ""en"",""tr"")"),"Poliolefinamin (C28-C250)")</f>
        <v>Poliolefinamin (C28-C250)</v>
      </c>
      <c r="E529" s="7" t="s">
        <v>2121</v>
      </c>
      <c r="F529" s="7" t="s">
        <v>2122</v>
      </c>
      <c r="G529" s="7">
        <v>2</v>
      </c>
    </row>
    <row r="530" spans="1:7" ht="12" customHeight="1" x14ac:dyDescent="0.2">
      <c r="A530" s="4">
        <v>529</v>
      </c>
      <c r="B530" s="5" t="s">
        <v>2123</v>
      </c>
      <c r="C530" s="6" t="s">
        <v>2124</v>
      </c>
      <c r="D530" s="12" t="str">
        <f ca="1">IFERROR(__xludf.DUMMYFUNCTION("GOOGLETRANSLATE(C:C, ""en"",""tr"")"),"Alkil (C2-C4) benzenler içinde poliolefinamin")</f>
        <v>Alkil (C2-C4) benzenler içinde poliolefinamin</v>
      </c>
      <c r="E530" s="7" t="s">
        <v>2125</v>
      </c>
      <c r="F530" s="7" t="s">
        <v>2126</v>
      </c>
      <c r="G530" s="7">
        <v>2</v>
      </c>
    </row>
    <row r="531" spans="1:7" ht="12" customHeight="1" x14ac:dyDescent="0.2">
      <c r="A531" s="4">
        <v>530</v>
      </c>
      <c r="B531" s="5" t="s">
        <v>2127</v>
      </c>
      <c r="C531" s="6" t="s">
        <v>2128</v>
      </c>
      <c r="D531" s="12" t="str">
        <f ca="1">IFERROR(__xludf.DUMMYFUNCTION("GOOGLETRANSLATE(C:C, ""en"",""tr"")"),"Aromatik çözücü içinde poliolefinamin")</f>
        <v>Aromatik çözücü içinde poliolefinamin</v>
      </c>
      <c r="E531" s="7" t="s">
        <v>2129</v>
      </c>
      <c r="F531" s="7" t="s">
        <v>2130</v>
      </c>
      <c r="G531" s="7">
        <v>2</v>
      </c>
    </row>
    <row r="532" spans="1:7" ht="12" customHeight="1" x14ac:dyDescent="0.2">
      <c r="A532" s="4">
        <v>531</v>
      </c>
      <c r="B532" s="5" t="s">
        <v>2131</v>
      </c>
      <c r="C532" s="6" t="s">
        <v>2132</v>
      </c>
      <c r="D532" s="12" t="str">
        <f ca="1">IFERROR(__xludf.DUMMYFUNCTION("GOOGLETRANSLATE(C:C, ""en"",""tr"")"),"Polyolefin aminoester tuzları (Moleküler Ağırlık 2000+)")</f>
        <v>Polyolefin aminoester tuzları (Moleküler Ağırlık 2000+)</v>
      </c>
      <c r="E532" s="7" t="s">
        <v>2133</v>
      </c>
      <c r="F532" s="7" t="s">
        <v>2134</v>
      </c>
      <c r="G532" s="7">
        <v>2</v>
      </c>
    </row>
    <row r="533" spans="1:7" ht="12" customHeight="1" x14ac:dyDescent="0.2">
      <c r="A533" s="4">
        <v>532</v>
      </c>
      <c r="B533" s="5" t="s">
        <v>2135</v>
      </c>
      <c r="C533" s="6" t="s">
        <v>2136</v>
      </c>
      <c r="D533" s="12" t="str">
        <f ca="1">IFERROR(__xludf.DUMMYFUNCTION("GOOGLETRANSLATE(C:C, ""en"",""tr"")"),"Polyolefin anhidrit")</f>
        <v>Polyolefin anhidrit</v>
      </c>
      <c r="E533" s="7" t="s">
        <v>2137</v>
      </c>
      <c r="F533" s="7" t="s">
        <v>2138</v>
      </c>
      <c r="G533" s="7">
        <v>2</v>
      </c>
    </row>
    <row r="534" spans="1:7" ht="12" customHeight="1" x14ac:dyDescent="0.2">
      <c r="A534" s="4">
        <v>533</v>
      </c>
      <c r="B534" s="5" t="s">
        <v>2139</v>
      </c>
      <c r="C534" s="6" t="s">
        <v>2140</v>
      </c>
      <c r="D534" s="12" t="str">
        <f ca="1">IFERROR(__xludf.DUMMYFUNCTION("GOOGLETRANSLATE(C:C, ""en"",""tr"")"),"Polyolefin fenolik amin (C28-C250)")</f>
        <v>Polyolefin fenolik amin (C28-C250)</v>
      </c>
      <c r="E534" s="7" t="s">
        <v>2141</v>
      </c>
      <c r="F534" s="7" t="s">
        <v>2142</v>
      </c>
      <c r="G534" s="7">
        <v>2</v>
      </c>
    </row>
    <row r="535" spans="1:7" ht="12" customHeight="1" x14ac:dyDescent="0.2">
      <c r="A535" s="4">
        <v>534</v>
      </c>
      <c r="B535" s="5" t="s">
        <v>2143</v>
      </c>
      <c r="C535" s="6" t="s">
        <v>2144</v>
      </c>
      <c r="D535" s="12" t="str">
        <f ca="1">IFERROR(__xludf.DUMMYFUNCTION("GOOGLETRANSLATE(C:C, ""en"",""tr"")"),"Polipropilen glikol")</f>
        <v>Polipropilen glikol</v>
      </c>
      <c r="E535" s="7" t="s">
        <v>2145</v>
      </c>
      <c r="F535" s="7" t="s">
        <v>2146</v>
      </c>
      <c r="G535" s="7">
        <v>3</v>
      </c>
    </row>
    <row r="536" spans="1:7" ht="12" customHeight="1" x14ac:dyDescent="0.2">
      <c r="A536" s="4">
        <v>535</v>
      </c>
      <c r="B536" s="5" t="s">
        <v>2147</v>
      </c>
      <c r="C536" s="6" t="s">
        <v>2148</v>
      </c>
      <c r="D536" s="12" t="str">
        <f ca="1">IFERROR(__xludf.DUMMYFUNCTION("GOOGLETRANSLATE(C:C, ""en"",""tr"")"),"Potasyum format çözeltileri (*)")</f>
        <v>Potasyum format çözeltileri (*)</v>
      </c>
      <c r="E536" s="7" t="s">
        <v>2149</v>
      </c>
      <c r="F536" s="7" t="s">
        <v>2150</v>
      </c>
      <c r="G536" s="7">
        <v>3</v>
      </c>
    </row>
    <row r="537" spans="1:7" ht="12" customHeight="1" x14ac:dyDescent="0.2">
      <c r="A537" s="4">
        <v>536</v>
      </c>
      <c r="B537" s="5" t="s">
        <v>2151</v>
      </c>
      <c r="C537" s="6" t="s">
        <v>2152</v>
      </c>
      <c r="D537" s="12" t="str">
        <f ca="1">IFERROR(__xludf.DUMMYFUNCTION("GOOGLETRANSLATE(C:C, ""en"",""tr"")"),"Potasyum hidroksit çözeltisi (*)")</f>
        <v>Potasyum hidroksit çözeltisi (*)</v>
      </c>
      <c r="E537" s="7" t="s">
        <v>2153</v>
      </c>
      <c r="F537" s="7" t="s">
        <v>2154</v>
      </c>
      <c r="G537" s="7">
        <v>3</v>
      </c>
    </row>
    <row r="538" spans="1:7" ht="12" customHeight="1" x14ac:dyDescent="0.2">
      <c r="A538" s="4">
        <v>537</v>
      </c>
      <c r="B538" s="5" t="s">
        <v>2155</v>
      </c>
      <c r="C538" s="6" t="s">
        <v>2156</v>
      </c>
      <c r="D538" s="12" t="str">
        <f ca="1">IFERROR(__xludf.DUMMYFUNCTION("GOOGLETRANSLATE(C:C, ""en"",""tr"")"),"Potasyum oleat")</f>
        <v>Potasyum oleat</v>
      </c>
      <c r="E538" s="7" t="s">
        <v>2157</v>
      </c>
      <c r="F538" s="7" t="s">
        <v>2158</v>
      </c>
      <c r="G538" s="7">
        <v>2</v>
      </c>
    </row>
    <row r="539" spans="1:7" ht="12" customHeight="1" x14ac:dyDescent="0.2">
      <c r="A539" s="4">
        <v>538</v>
      </c>
      <c r="B539" s="5" t="s">
        <v>2159</v>
      </c>
      <c r="C539" s="6" t="s">
        <v>2160</v>
      </c>
      <c r="D539" s="12" t="str">
        <f ca="1">IFERROR(__xludf.DUMMYFUNCTION("GOOGLETRANSLATE(C:C, ""en"",""tr"")"),"Potasyum tiyosülfat (%50 veya daha az)")</f>
        <v>Potasyum tiyosülfat (%50 veya daha az)</v>
      </c>
      <c r="E539" s="7" t="s">
        <v>2161</v>
      </c>
      <c r="F539" s="7" t="s">
        <v>2162</v>
      </c>
      <c r="G539" s="7">
        <v>3</v>
      </c>
    </row>
    <row r="540" spans="1:7" ht="12" customHeight="1" x14ac:dyDescent="0.2">
      <c r="A540" s="4">
        <v>539</v>
      </c>
      <c r="B540" s="5" t="s">
        <v>2163</v>
      </c>
      <c r="C540" s="6" t="s">
        <v>2164</v>
      </c>
      <c r="D540" s="12" t="str">
        <f ca="1">IFERROR(__xludf.DUMMYFUNCTION("GOOGLETRANSLATE(C:C, ""en"",""tr"")"),"N-propanolamin")</f>
        <v>N-propanolamin</v>
      </c>
      <c r="E540" s="7" t="s">
        <v>2165</v>
      </c>
      <c r="F540" s="7" t="s">
        <v>2166</v>
      </c>
      <c r="G540" s="7">
        <v>3</v>
      </c>
    </row>
    <row r="541" spans="1:7" ht="12" customHeight="1" x14ac:dyDescent="0.2">
      <c r="A541" s="4">
        <v>540</v>
      </c>
      <c r="B541" s="5" t="s">
        <v>2167</v>
      </c>
      <c r="C541" s="6" t="s">
        <v>2168</v>
      </c>
      <c r="D541" s="12" t="str">
        <f ca="1">IFERROR(__xludf.DUMMYFUNCTION("GOOGLETRANSLATE(C:C, ""en"",""tr"")"),"Beta-propiolactone")</f>
        <v>Beta-propiolactone</v>
      </c>
      <c r="E541" s="7" t="s">
        <v>2169</v>
      </c>
      <c r="F541" s="7" t="s">
        <v>2170</v>
      </c>
      <c r="G541" s="7">
        <v>1</v>
      </c>
    </row>
    <row r="542" spans="1:7" ht="12" customHeight="1" x14ac:dyDescent="0.2">
      <c r="A542" s="4">
        <v>541</v>
      </c>
      <c r="B542" s="5" t="s">
        <v>2171</v>
      </c>
      <c r="C542" s="6" t="s">
        <v>2172</v>
      </c>
      <c r="D542" s="12" t="str">
        <f ca="1">IFERROR(__xludf.DUMMYFUNCTION("GOOGLETRANSLATE(C:C, ""en"",""tr"")"),"Propiyonaldehit")</f>
        <v>Propiyonaldehit</v>
      </c>
      <c r="E542" s="7" t="s">
        <v>2173</v>
      </c>
      <c r="F542" s="7" t="s">
        <v>2174</v>
      </c>
      <c r="G542" s="7">
        <v>3</v>
      </c>
    </row>
    <row r="543" spans="1:7" ht="12" customHeight="1" x14ac:dyDescent="0.2">
      <c r="A543" s="4">
        <v>542</v>
      </c>
      <c r="B543" s="5" t="s">
        <v>2175</v>
      </c>
      <c r="C543" s="6" t="s">
        <v>2176</v>
      </c>
      <c r="D543" s="12" t="str">
        <f ca="1">IFERROR(__xludf.DUMMYFUNCTION("GOOGLETRANSLATE(C:C, ""en"",""tr"")"),"Propiyonik asit")</f>
        <v>Propiyonik asit</v>
      </c>
      <c r="E543" s="7" t="s">
        <v>2177</v>
      </c>
      <c r="F543" s="7" t="s">
        <v>2178</v>
      </c>
      <c r="G543" s="7">
        <v>3</v>
      </c>
    </row>
    <row r="544" spans="1:7" ht="12" customHeight="1" x14ac:dyDescent="0.2">
      <c r="A544" s="4">
        <v>543</v>
      </c>
      <c r="B544" s="5" t="s">
        <v>2179</v>
      </c>
      <c r="C544" s="6" t="s">
        <v>2180</v>
      </c>
      <c r="D544" s="12" t="str">
        <f ca="1">IFERROR(__xludf.DUMMYFUNCTION("GOOGLETRANSLATE(C:C, ""en"",""tr"")"),"Propiyonik anhidrit")</f>
        <v>Propiyonik anhidrit</v>
      </c>
      <c r="E544" s="7" t="s">
        <v>2181</v>
      </c>
      <c r="F544" s="7" t="s">
        <v>2182</v>
      </c>
      <c r="G544" s="7">
        <v>2</v>
      </c>
    </row>
    <row r="545" spans="1:7" ht="12" customHeight="1" x14ac:dyDescent="0.2">
      <c r="A545" s="4">
        <v>544</v>
      </c>
      <c r="B545" s="5" t="s">
        <v>2183</v>
      </c>
      <c r="C545" s="6" t="s">
        <v>2184</v>
      </c>
      <c r="D545" s="12" t="str">
        <f ca="1">IFERROR(__xludf.DUMMYFUNCTION("GOOGLETRANSLATE(C:C, ""en"",""tr"")"),"Propiyonitril")</f>
        <v>Propiyonitril</v>
      </c>
      <c r="E545" s="7" t="s">
        <v>2185</v>
      </c>
      <c r="F545" s="7" t="s">
        <v>2186</v>
      </c>
      <c r="G545" s="7">
        <v>1</v>
      </c>
    </row>
    <row r="546" spans="1:7" ht="12" customHeight="1" x14ac:dyDescent="0.2">
      <c r="A546" s="4">
        <v>545</v>
      </c>
      <c r="B546" s="5" t="s">
        <v>2187</v>
      </c>
      <c r="C546" s="6" t="s">
        <v>2188</v>
      </c>
      <c r="D546" s="12" t="str">
        <f ca="1">IFERROR(__xludf.DUMMYFUNCTION("GOOGLETRANSLATE(C:C, ""en"",""tr"")"),"N-propil alkol")</f>
        <v>N-propil alkol</v>
      </c>
      <c r="E546" s="7" t="s">
        <v>2189</v>
      </c>
      <c r="F546" s="7" t="s">
        <v>2190</v>
      </c>
      <c r="G546" s="7">
        <v>3</v>
      </c>
    </row>
    <row r="547" spans="1:7" ht="12" customHeight="1" x14ac:dyDescent="0.2">
      <c r="A547" s="4">
        <v>546</v>
      </c>
      <c r="B547" s="5" t="s">
        <v>2191</v>
      </c>
      <c r="C547" s="6" t="s">
        <v>2192</v>
      </c>
      <c r="D547" s="12" t="str">
        <f ca="1">IFERROR(__xludf.DUMMYFUNCTION("GOOGLETRANSLATE(C:C, ""en"",""tr"")"),"N-propilamin")</f>
        <v>N-propilamin</v>
      </c>
      <c r="E547" s="7" t="s">
        <v>2193</v>
      </c>
      <c r="F547" s="7" t="s">
        <v>2194</v>
      </c>
      <c r="G547" s="7">
        <v>2</v>
      </c>
    </row>
    <row r="548" spans="1:7" ht="12" customHeight="1" x14ac:dyDescent="0.2">
      <c r="A548" s="4">
        <v>547</v>
      </c>
      <c r="B548" s="5" t="s">
        <v>2195</v>
      </c>
      <c r="C548" s="6" t="s">
        <v>2196</v>
      </c>
      <c r="D548" s="12" t="str">
        <f ca="1">IFERROR(__xludf.DUMMYFUNCTION("GOOGLETRANSLATE(C:C, ""en"",""tr"")"),"Propilen karbonat")</f>
        <v>Propilen karbonat</v>
      </c>
      <c r="E548" s="7" t="s">
        <v>2197</v>
      </c>
      <c r="F548" s="7" t="s">
        <v>2198</v>
      </c>
      <c r="G548" s="7">
        <v>3</v>
      </c>
    </row>
    <row r="549" spans="1:7" ht="12" customHeight="1" x14ac:dyDescent="0.2">
      <c r="A549" s="4">
        <v>548</v>
      </c>
      <c r="B549" s="5" t="s">
        <v>2199</v>
      </c>
      <c r="C549" s="6" t="s">
        <v>2200</v>
      </c>
      <c r="D549" s="12" t="str">
        <f ca="1">IFERROR(__xludf.DUMMYFUNCTION("GOOGLETRANSLATE(C:C, ""en"",""tr"")"),"Propilen glikol monoalkil eter")</f>
        <v>Propilen glikol monoalkil eter</v>
      </c>
      <c r="E549" s="7" t="s">
        <v>2201</v>
      </c>
      <c r="F549" s="7" t="s">
        <v>2202</v>
      </c>
      <c r="G549" s="7">
        <v>3</v>
      </c>
    </row>
    <row r="550" spans="1:7" ht="12" customHeight="1" x14ac:dyDescent="0.2">
      <c r="A550" s="4">
        <v>549</v>
      </c>
      <c r="B550" s="5" t="s">
        <v>2203</v>
      </c>
      <c r="C550" s="6" t="s">
        <v>2204</v>
      </c>
      <c r="D550" s="12" t="str">
        <f ca="1">IFERROR(__xludf.DUMMYFUNCTION("GOOGLETRANSLATE(C:C, ""en"",""tr"")"),"Propilen glikol fenil eter")</f>
        <v>Propilen glikol fenil eter</v>
      </c>
      <c r="E550" s="7" t="s">
        <v>2205</v>
      </c>
      <c r="F550" s="7" t="s">
        <v>2206</v>
      </c>
      <c r="G550" s="7">
        <v>3</v>
      </c>
    </row>
    <row r="551" spans="1:7" ht="12" customHeight="1" x14ac:dyDescent="0.2">
      <c r="A551" s="4">
        <v>550</v>
      </c>
      <c r="B551" s="5" t="s">
        <v>2207</v>
      </c>
      <c r="C551" s="6" t="s">
        <v>2208</v>
      </c>
      <c r="D551" s="12" t="str">
        <f ca="1">IFERROR(__xludf.DUMMYFUNCTION("GOOGLETRANSLATE(C:C, ""en"",""tr"")"),"Propilen oksit")</f>
        <v>Propilen oksit</v>
      </c>
      <c r="E551" s="7" t="s">
        <v>2209</v>
      </c>
      <c r="F551" s="7" t="s">
        <v>2210</v>
      </c>
      <c r="G551" s="7">
        <v>2</v>
      </c>
    </row>
    <row r="552" spans="1:7" ht="12" customHeight="1" x14ac:dyDescent="0.2">
      <c r="A552" s="4">
        <v>551</v>
      </c>
      <c r="B552" s="5" t="s">
        <v>2211</v>
      </c>
      <c r="C552" s="6" t="s">
        <v>2212</v>
      </c>
      <c r="D552" s="12" t="str">
        <f ca="1">IFERROR(__xludf.DUMMYFUNCTION("GOOGLETRANSLATE(C:C, ""en"",""tr"")"),"Propilen tetramer")</f>
        <v>Propilen tetramer</v>
      </c>
      <c r="E552" s="7" t="s">
        <v>2213</v>
      </c>
      <c r="F552" s="7" t="s">
        <v>2214</v>
      </c>
      <c r="G552" s="7">
        <v>2</v>
      </c>
    </row>
    <row r="553" spans="1:7" ht="12" customHeight="1" x14ac:dyDescent="0.2">
      <c r="A553" s="4">
        <v>552</v>
      </c>
      <c r="B553" s="5" t="s">
        <v>2215</v>
      </c>
      <c r="C553" s="6" t="s">
        <v>2216</v>
      </c>
      <c r="D553" s="12" t="str">
        <f ca="1">IFERROR(__xludf.DUMMYFUNCTION("GOOGLETRANSLATE(C:C, ""en"",""tr"")"),"Propilen trimer")</f>
        <v>Propilen trimer</v>
      </c>
      <c r="E553" s="7" t="s">
        <v>2217</v>
      </c>
      <c r="F553" s="7" t="s">
        <v>2218</v>
      </c>
      <c r="G553" s="7">
        <v>2</v>
      </c>
    </row>
    <row r="554" spans="1:7" ht="12" customHeight="1" x14ac:dyDescent="0.2">
      <c r="A554" s="4">
        <v>553</v>
      </c>
      <c r="B554" s="5" t="s">
        <v>2219</v>
      </c>
      <c r="C554" s="6" t="s">
        <v>2220</v>
      </c>
      <c r="D554" s="12" t="str">
        <f ca="1">IFERROR(__xludf.DUMMYFUNCTION("GOOGLETRANSLATE(C:C, ""en"",""tr"")"),"Piridin")</f>
        <v>Piridin</v>
      </c>
      <c r="E554" s="7" t="s">
        <v>2221</v>
      </c>
      <c r="F554" s="7" t="s">
        <v>2222</v>
      </c>
      <c r="G554" s="7">
        <v>3</v>
      </c>
    </row>
    <row r="555" spans="1:7" ht="12" customHeight="1" x14ac:dyDescent="0.2">
      <c r="A555" s="4">
        <v>554</v>
      </c>
      <c r="B555" s="5" t="s">
        <v>2223</v>
      </c>
      <c r="C555" s="6" t="s">
        <v>2224</v>
      </c>
      <c r="D555" s="12" t="str">
        <f ca="1">IFERROR(__xludf.DUMMYFUNCTION("GOOGLETRANSLATE(C:C, ""en"",""tr"")"),"Piroliz benzin (benzen içeren)")</f>
        <v>Piroliz benzin (benzen içeren)</v>
      </c>
      <c r="E555" s="7" t="s">
        <v>2225</v>
      </c>
      <c r="F555" s="7" t="s">
        <v>2226</v>
      </c>
      <c r="G555" s="7">
        <v>2</v>
      </c>
    </row>
    <row r="556" spans="1:7" ht="12" customHeight="1" x14ac:dyDescent="0.2">
      <c r="A556" s="4">
        <v>555</v>
      </c>
      <c r="B556" s="5" t="s">
        <v>2227</v>
      </c>
      <c r="C556" s="6" t="s">
        <v>2228</v>
      </c>
      <c r="D556" s="12" t="str">
        <f ca="1">IFERROR(__xludf.DUMMYFUNCTION("GOOGLETRANSLATE(C:C, ""en"",""tr"")"),"Kolza tohumu küspesi yağ asidi metil esterler")</f>
        <v>Kolza tohumu küspesi yağ asidi metil esterler</v>
      </c>
      <c r="E556" s="7" t="s">
        <v>2229</v>
      </c>
      <c r="F556" s="7" t="s">
        <v>2230</v>
      </c>
      <c r="G556" s="7">
        <v>2</v>
      </c>
    </row>
    <row r="557" spans="1:7" ht="12" customHeight="1" x14ac:dyDescent="0.2">
      <c r="A557" s="4">
        <v>556</v>
      </c>
      <c r="B557" s="5" t="s">
        <v>2231</v>
      </c>
      <c r="C557" s="6" t="s">
        <v>2232</v>
      </c>
      <c r="D557" s="12" t="str">
        <f ca="1">IFERROR(__xludf.DUMMYFUNCTION("GOOGLETRANSLATE(C:C, ""en"",""tr"")"),"Reçine yağı, damıtılmış")</f>
        <v>Reçine yağı, damıtılmış</v>
      </c>
      <c r="E557" s="7" t="s">
        <v>2233</v>
      </c>
      <c r="F557" s="7" t="s">
        <v>2234</v>
      </c>
      <c r="G557" s="7">
        <v>2</v>
      </c>
    </row>
    <row r="558" spans="1:7" ht="12" customHeight="1" x14ac:dyDescent="0.2">
      <c r="A558" s="4">
        <v>557</v>
      </c>
      <c r="B558" s="5" t="s">
        <v>2235</v>
      </c>
      <c r="C558" s="6" t="s">
        <v>2236</v>
      </c>
      <c r="D558" s="12" t="str">
        <f ca="1">IFERROR(__xludf.DUMMYFUNCTION("GOOGLETRANSLATE(C:C, ""en"",""tr"")"),"Pirinç kepeği yağı")</f>
        <v>Pirinç kepeği yağı</v>
      </c>
      <c r="E558" s="7" t="s">
        <v>2237</v>
      </c>
      <c r="F558" s="7" t="s">
        <v>2238</v>
      </c>
      <c r="G558" s="7" t="s">
        <v>2239</v>
      </c>
    </row>
    <row r="559" spans="1:7" ht="12" customHeight="1" x14ac:dyDescent="0.2">
      <c r="A559" s="4">
        <v>558</v>
      </c>
      <c r="B559" s="5" t="s">
        <v>2240</v>
      </c>
      <c r="C559" s="6" t="s">
        <v>2241</v>
      </c>
      <c r="D559" s="12" t="str">
        <f ca="1">IFERROR(__xludf.DUMMYFUNCTION("GOOGLETRANSLATE(C:C, ""en"",""tr"")"),"Reçine")</f>
        <v>Reçine</v>
      </c>
      <c r="E559" s="7" t="s">
        <v>2242</v>
      </c>
      <c r="F559" s="7" t="s">
        <v>2243</v>
      </c>
      <c r="G559" s="7">
        <v>2</v>
      </c>
    </row>
    <row r="560" spans="1:7" ht="12" customHeight="1" x14ac:dyDescent="0.2">
      <c r="A560" s="4">
        <v>559</v>
      </c>
      <c r="B560" s="5" t="s">
        <v>2244</v>
      </c>
      <c r="C560" s="6" t="s">
        <v>2245</v>
      </c>
      <c r="D560" s="12" t="str">
        <f ca="1">IFERROR(__xludf.DUMMYFUNCTION("GOOGLETRANSLATE(C:C, ""en"",""tr"")"),"Aspir yağı")</f>
        <v>Aspir yağı</v>
      </c>
      <c r="E560" s="7" t="s">
        <v>2246</v>
      </c>
      <c r="F560" s="7" t="s">
        <v>2247</v>
      </c>
      <c r="G560" s="7" t="s">
        <v>2248</v>
      </c>
    </row>
    <row r="561" spans="1:7" ht="12" customHeight="1" x14ac:dyDescent="0.2">
      <c r="A561" s="4">
        <v>560</v>
      </c>
      <c r="B561" s="5" t="s">
        <v>2249</v>
      </c>
      <c r="C561" s="6" t="s">
        <v>2250</v>
      </c>
      <c r="D561" s="12" t="str">
        <f ca="1">IFERROR(__xludf.DUMMYFUNCTION("GOOGLETRANSLATE(C:C, ""en"",""tr"")"),"Karite yağı")</f>
        <v>Karite yağı</v>
      </c>
      <c r="E561" s="7" t="s">
        <v>2251</v>
      </c>
      <c r="F561" s="7" t="s">
        <v>2252</v>
      </c>
      <c r="G561" s="7" t="s">
        <v>2253</v>
      </c>
    </row>
    <row r="562" spans="1:7" ht="12" customHeight="1" x14ac:dyDescent="0.2">
      <c r="A562" s="4">
        <v>561</v>
      </c>
      <c r="B562" s="5" t="s">
        <v>2254</v>
      </c>
      <c r="C562" s="6" t="s">
        <v>2255</v>
      </c>
      <c r="D562" s="12" t="str">
        <f ca="1">IFERROR(__xludf.DUMMYFUNCTION("GOOGLETRANSLATE(C:C, ""en"",""tr"")"),"Sodyum alkil (C14-C17) sülfonatlar (%60-65 çözelti)")</f>
        <v>Sodyum alkil (C14-C17) sülfonatlar (%60-65 çözelti)</v>
      </c>
      <c r="E562" s="7" t="s">
        <v>2256</v>
      </c>
      <c r="F562" s="7" t="s">
        <v>2257</v>
      </c>
      <c r="G562" s="7">
        <v>2</v>
      </c>
    </row>
    <row r="563" spans="1:7" ht="12" customHeight="1" x14ac:dyDescent="0.2">
      <c r="A563" s="4">
        <v>562</v>
      </c>
      <c r="B563" s="5" t="s">
        <v>2258</v>
      </c>
      <c r="C563" s="6" t="s">
        <v>2259</v>
      </c>
      <c r="D563" s="12" t="str">
        <f ca="1">IFERROR(__xludf.DUMMYFUNCTION("GOOGLETRANSLATE(C:C, ""en"",""tr"")"),"Sodyum benzoat")</f>
        <v>Sodyum benzoat</v>
      </c>
      <c r="E563" s="7" t="s">
        <v>2260</v>
      </c>
      <c r="F563" s="7" t="s">
        <v>2261</v>
      </c>
      <c r="G563" s="7">
        <v>3</v>
      </c>
    </row>
    <row r="564" spans="1:7" ht="12" customHeight="1" x14ac:dyDescent="0.2">
      <c r="A564" s="4">
        <v>563</v>
      </c>
      <c r="B564" s="5" t="s">
        <v>2262</v>
      </c>
      <c r="C564" s="6" t="s">
        <v>2263</v>
      </c>
      <c r="D564" s="12" t="str">
        <f ca="1">IFERROR(__xludf.DUMMYFUNCTION("GOOGLETRANSLATE(C:C, ""en"",""tr"")"),"Sodyum borohidrit (%15 veya daha az) / Sodyum hidroksit çözeltisi (*)")</f>
        <v>Sodyum borohidrit (%15 veya daha az) / Sodyum hidroksit çözeltisi (*)</v>
      </c>
      <c r="E564" s="7" t="s">
        <v>2264</v>
      </c>
      <c r="F564" s="7" t="s">
        <v>2265</v>
      </c>
      <c r="G564" s="7">
        <v>3</v>
      </c>
    </row>
    <row r="565" spans="1:7" ht="12" customHeight="1" x14ac:dyDescent="0.2">
      <c r="A565" s="4">
        <v>564</v>
      </c>
      <c r="B565" s="5" t="s">
        <v>2266</v>
      </c>
      <c r="C565" s="6" t="s">
        <v>2267</v>
      </c>
      <c r="D565" s="12" t="str">
        <f ca="1">IFERROR(__xludf.DUMMYFUNCTION("GOOGLETRANSLATE(C:C, ""en"",""tr"")"),"Sodyum bromür çözeltisi (% 50'den az) (*)")</f>
        <v>Sodyum bromür çözeltisi (% 50'den az) (*)</v>
      </c>
      <c r="E565" s="7" t="s">
        <v>2268</v>
      </c>
      <c r="F565" s="7" t="s">
        <v>2269</v>
      </c>
      <c r="G565" s="7">
        <v>3</v>
      </c>
    </row>
    <row r="566" spans="1:7" ht="12" customHeight="1" x14ac:dyDescent="0.2">
      <c r="A566" s="4">
        <v>565</v>
      </c>
      <c r="B566" s="5" t="s">
        <v>2270</v>
      </c>
      <c r="C566" s="6" t="s">
        <v>2271</v>
      </c>
      <c r="D566" s="12" t="str">
        <f ca="1">IFERROR(__xludf.DUMMYFUNCTION("GOOGLETRANSLATE(C:C, ""en"",""tr"")"),"Sodyum karbonat çözeltisi (*)")</f>
        <v>Sodyum karbonat çözeltisi (*)</v>
      </c>
      <c r="E566" s="7" t="s">
        <v>2272</v>
      </c>
      <c r="F566" s="7" t="s">
        <v>2273</v>
      </c>
      <c r="G566" s="7">
        <v>3</v>
      </c>
    </row>
    <row r="567" spans="1:7" ht="12" customHeight="1" x14ac:dyDescent="0.2">
      <c r="A567" s="4">
        <v>566</v>
      </c>
      <c r="B567" s="5" t="s">
        <v>2274</v>
      </c>
      <c r="C567" s="6" t="s">
        <v>2275</v>
      </c>
      <c r="D567" s="12" t="str">
        <f ca="1">IFERROR(__xludf.DUMMYFUNCTION("GOOGLETRANSLATE(C:C, ""en"",""tr"")"),"Sodyum klorat çözeltisi (%50 veya daha az) (*)")</f>
        <v>Sodyum klorat çözeltisi (%50 veya daha az) (*)</v>
      </c>
      <c r="E567" s="7" t="s">
        <v>2276</v>
      </c>
      <c r="F567" s="7" t="s">
        <v>2277</v>
      </c>
      <c r="G567" s="7">
        <v>3</v>
      </c>
    </row>
    <row r="568" spans="1:7" ht="12" customHeight="1" x14ac:dyDescent="0.2">
      <c r="A568" s="4">
        <v>567</v>
      </c>
      <c r="B568" s="5" t="s">
        <v>2278</v>
      </c>
      <c r="C568" s="6" t="s">
        <v>2279</v>
      </c>
      <c r="D568" s="12" t="str">
        <f ca="1">IFERROR(__xludf.DUMMYFUNCTION("GOOGLETRANSLATE(C:C, ""en"",""tr"")"),"Sodyum dikromat çözeltisi (%70 veya daha az)")</f>
        <v>Sodyum dikromat çözeltisi (%70 veya daha az)</v>
      </c>
      <c r="E568" s="7" t="s">
        <v>2280</v>
      </c>
      <c r="F568" s="7" t="s">
        <v>2281</v>
      </c>
      <c r="G568" s="7">
        <v>1</v>
      </c>
    </row>
    <row r="569" spans="1:7" ht="12" customHeight="1" x14ac:dyDescent="0.2">
      <c r="A569" s="4">
        <v>568</v>
      </c>
      <c r="B569" s="5" t="s">
        <v>2282</v>
      </c>
      <c r="C569" s="6" t="s">
        <v>2283</v>
      </c>
      <c r="D569" s="12" t="str">
        <f ca="1">IFERROR(__xludf.DUMMYFUNCTION("GOOGLETRANSLATE(C:C, ""en"",""tr"")"),"Sodyum hidrojen sülfit (%6 veya daha az) / sodyum karbonat (%3 veya daha az) çözelti")</f>
        <v>Sodyum hidrojen sülfit (%6 veya daha az) / sodyum karbonat (%3 veya daha az) çözelti</v>
      </c>
      <c r="E569" s="7" t="s">
        <v>2284</v>
      </c>
      <c r="F569" s="7" t="s">
        <v>2285</v>
      </c>
      <c r="G569" s="7">
        <v>3</v>
      </c>
    </row>
    <row r="570" spans="1:7" ht="12" customHeight="1" x14ac:dyDescent="0.2">
      <c r="A570" s="4">
        <v>569</v>
      </c>
      <c r="B570" s="5" t="s">
        <v>2286</v>
      </c>
      <c r="C570" s="6" t="s">
        <v>2287</v>
      </c>
      <c r="D570" s="12" t="str">
        <f ca="1">IFERROR(__xludf.DUMMYFUNCTION("GOOGLETRANSLATE(C:C, ""en"",""tr"")"),"Sodyum hidrosülfit / amonyum sülfit çözeltisi (*)")</f>
        <v>Sodyum hidrosülfit / amonyum sülfit çözeltisi (*)</v>
      </c>
      <c r="E570" s="7" t="s">
        <v>2288</v>
      </c>
      <c r="F570" s="7" t="s">
        <v>2289</v>
      </c>
      <c r="G570" s="7">
        <v>2</v>
      </c>
    </row>
    <row r="571" spans="1:7" ht="12" customHeight="1" x14ac:dyDescent="0.2">
      <c r="A571" s="4">
        <v>570</v>
      </c>
      <c r="B571" s="5" t="s">
        <v>2290</v>
      </c>
      <c r="C571" s="6" t="s">
        <v>2291</v>
      </c>
      <c r="D571" s="12" t="str">
        <f ca="1">IFERROR(__xludf.DUMMYFUNCTION("GOOGLETRANSLATE(C:C, ""en"",""tr"")"),"Sodyum hidrosülfit çözeltisi (%45 veya daha az) (*)")</f>
        <v>Sodyum hidrosülfit çözeltisi (%45 veya daha az) (*)</v>
      </c>
      <c r="E571" s="7" t="s">
        <v>2292</v>
      </c>
      <c r="F571" s="7" t="s">
        <v>2293</v>
      </c>
      <c r="G571" s="7">
        <v>3</v>
      </c>
    </row>
    <row r="572" spans="1:7" ht="12" customHeight="1" x14ac:dyDescent="0.2">
      <c r="A572" s="4">
        <v>571</v>
      </c>
      <c r="B572" s="5" t="s">
        <v>2294</v>
      </c>
      <c r="C572" s="6" t="s">
        <v>2295</v>
      </c>
      <c r="D572" s="12" t="str">
        <f ca="1">IFERROR(__xludf.DUMMYFUNCTION("GOOGLETRANSLATE(C:C, ""en"",""tr"")"),"Sodyum hidroksit çözeltisi (*)")</f>
        <v>Sodyum hidroksit çözeltisi (*)</v>
      </c>
      <c r="E572" s="7" t="s">
        <v>2296</v>
      </c>
      <c r="F572" s="7" t="s">
        <v>2297</v>
      </c>
      <c r="G572" s="7">
        <v>3</v>
      </c>
    </row>
    <row r="573" spans="1:7" ht="12" customHeight="1" x14ac:dyDescent="0.2">
      <c r="A573" s="4">
        <v>572</v>
      </c>
      <c r="B573" s="5" t="s">
        <v>2298</v>
      </c>
      <c r="C573" s="6" t="s">
        <v>2299</v>
      </c>
      <c r="D573" s="12" t="str">
        <f ca="1">IFERROR(__xludf.DUMMYFUNCTION("GOOGLETRANSLATE(C:C, ""en"",""tr"")"),"Sodyum hipoklorit çözeltisi (%15 veya daha az)")</f>
        <v>Sodyum hipoklorit çözeltisi (%15 veya daha az)</v>
      </c>
      <c r="E573" s="7" t="s">
        <v>2300</v>
      </c>
      <c r="F573" s="7" t="s">
        <v>2301</v>
      </c>
      <c r="G573" s="7">
        <v>2</v>
      </c>
    </row>
    <row r="574" spans="1:7" ht="12" customHeight="1" x14ac:dyDescent="0.2">
      <c r="A574" s="4">
        <v>573</v>
      </c>
      <c r="B574" s="5" t="s">
        <v>2302</v>
      </c>
      <c r="C574" s="6" t="s">
        <v>2303</v>
      </c>
      <c r="D574" s="12" t="str">
        <f ca="1">IFERROR(__xludf.DUMMYFUNCTION("GOOGLETRANSLATE(C:C, ""en"",""tr"")"),"Metil alkolde %21-30 sodyum metilat")</f>
        <v>Metil alkolde %21-30 sodyum metilat</v>
      </c>
      <c r="E574" s="7" t="s">
        <v>2304</v>
      </c>
      <c r="F574" s="7" t="s">
        <v>2305</v>
      </c>
      <c r="G574" s="7">
        <v>2</v>
      </c>
    </row>
    <row r="575" spans="1:7" ht="12" customHeight="1" x14ac:dyDescent="0.2">
      <c r="A575" s="4">
        <v>574</v>
      </c>
      <c r="B575" s="5" t="s">
        <v>2306</v>
      </c>
      <c r="C575" s="6" t="s">
        <v>2307</v>
      </c>
      <c r="D575" s="12" t="str">
        <f ca="1">IFERROR(__xludf.DUMMYFUNCTION("GOOGLETRANSLATE(C:C, ""en"",""tr"")"),"Sodyum nitrit çözeltisi")</f>
        <v>Sodyum nitrit çözeltisi</v>
      </c>
      <c r="E575" s="7" t="s">
        <v>2308</v>
      </c>
      <c r="F575" s="7" t="s">
        <v>2309</v>
      </c>
      <c r="G575" s="7">
        <v>3</v>
      </c>
    </row>
    <row r="576" spans="1:7" ht="12" customHeight="1" x14ac:dyDescent="0.2">
      <c r="A576" s="4">
        <v>575</v>
      </c>
      <c r="B576" s="5" t="s">
        <v>2310</v>
      </c>
      <c r="C576" s="6" t="s">
        <v>2311</v>
      </c>
      <c r="D576" s="12" t="str">
        <f ca="1">IFERROR(__xludf.DUMMYFUNCTION("GOOGLETRANSLATE(C:C, ""en"",""tr"")"),"Sodyum petrol sülfonat")</f>
        <v>Sodyum petrol sülfonat</v>
      </c>
      <c r="E576" s="7" t="s">
        <v>2312</v>
      </c>
      <c r="F576" s="7" t="s">
        <v>2313</v>
      </c>
      <c r="G576" s="7">
        <v>2</v>
      </c>
    </row>
    <row r="577" spans="1:7" ht="12" customHeight="1" x14ac:dyDescent="0.2">
      <c r="A577" s="4">
        <v>576</v>
      </c>
      <c r="B577" s="5" t="s">
        <v>2314</v>
      </c>
      <c r="C577" s="6" t="s">
        <v>2315</v>
      </c>
      <c r="D577" s="12" t="str">
        <f ca="1">IFERROR(__xludf.DUMMYFUNCTION("GOOGLETRANSLATE(C:C, ""en"",""tr"")"),"Sodyum Poly (4+) Akrilat Çözeltileri")</f>
        <v>Sodyum Poly (4+) Akrilat Çözeltileri</v>
      </c>
      <c r="E577" s="7" t="s">
        <v>2316</v>
      </c>
      <c r="F577" s="7" t="s">
        <v>2317</v>
      </c>
      <c r="G577" s="7">
        <v>3</v>
      </c>
    </row>
    <row r="578" spans="1:7" ht="12" customHeight="1" x14ac:dyDescent="0.2">
      <c r="A578" s="4">
        <v>577</v>
      </c>
      <c r="B578" s="5" t="s">
        <v>2318</v>
      </c>
      <c r="C578" s="6" t="s">
        <v>2319</v>
      </c>
      <c r="D578" s="12" t="str">
        <f ca="1">IFERROR(__xludf.DUMMYFUNCTION("GOOGLETRANSLATE(C:C, ""en"",""tr"")"),"Sodyum silikat çözeltisi")</f>
        <v>Sodyum silikat çözeltisi</v>
      </c>
      <c r="E578" s="7" t="s">
        <v>2320</v>
      </c>
      <c r="F578" s="7" t="s">
        <v>2321</v>
      </c>
      <c r="G578" s="7">
        <v>3</v>
      </c>
    </row>
    <row r="579" spans="1:7" ht="12" customHeight="1" x14ac:dyDescent="0.2">
      <c r="A579" s="4">
        <v>578</v>
      </c>
      <c r="B579" s="5" t="s">
        <v>2322</v>
      </c>
      <c r="C579" s="6" t="s">
        <v>2323</v>
      </c>
      <c r="D579" s="12" t="str">
        <f ca="1">IFERROR(__xludf.DUMMYFUNCTION("GOOGLETRANSLATE(C:C, ""en"",""tr"")"),"Sodyum sülfat çözeltileri")</f>
        <v>Sodyum sülfat çözeltileri</v>
      </c>
      <c r="E579" s="7" t="s">
        <v>2324</v>
      </c>
      <c r="F579" s="7" t="s">
        <v>2325</v>
      </c>
      <c r="G579" s="7">
        <v>3</v>
      </c>
    </row>
    <row r="580" spans="1:7" ht="12" customHeight="1" x14ac:dyDescent="0.2">
      <c r="A580" s="4">
        <v>579</v>
      </c>
      <c r="B580" s="5" t="s">
        <v>2326</v>
      </c>
      <c r="C580" s="6" t="s">
        <v>2327</v>
      </c>
      <c r="D580" s="12" t="str">
        <f ca="1">IFERROR(__xludf.DUMMYFUNCTION("GOOGLETRANSLATE(C:C, ""en"",""tr"")"),"Sodyum sülfit çözeltisi (%15 veya daha az)")</f>
        <v>Sodyum sülfit çözeltisi (%15 veya daha az)</v>
      </c>
      <c r="E580" s="7" t="s">
        <v>2328</v>
      </c>
      <c r="F580" s="7" t="s">
        <v>2329</v>
      </c>
      <c r="G580" s="7">
        <v>3</v>
      </c>
    </row>
    <row r="581" spans="1:7" ht="12" customHeight="1" x14ac:dyDescent="0.2">
      <c r="A581" s="4">
        <v>580</v>
      </c>
      <c r="B581" s="5" t="s">
        <v>2330</v>
      </c>
      <c r="C581" s="6" t="s">
        <v>2331</v>
      </c>
      <c r="D581" s="12" t="str">
        <f ca="1">IFERROR(__xludf.DUMMYFUNCTION("GOOGLETRANSLATE(C:C, ""en"",""tr"")"),"Sodyum sülfit çözeltisi (%25 veya daha az)")</f>
        <v>Sodyum sülfit çözeltisi (%25 veya daha az)</v>
      </c>
      <c r="E581" s="7" t="s">
        <v>2332</v>
      </c>
      <c r="F581" s="7" t="s">
        <v>2333</v>
      </c>
      <c r="G581" s="7">
        <v>3</v>
      </c>
    </row>
    <row r="582" spans="1:7" ht="12" customHeight="1" x14ac:dyDescent="0.2">
      <c r="A582" s="4">
        <v>581</v>
      </c>
      <c r="B582" s="5" t="s">
        <v>2334</v>
      </c>
      <c r="C582" s="6" t="s">
        <v>2335</v>
      </c>
      <c r="D582" s="12" t="str">
        <f ca="1">IFERROR(__xludf.DUMMYFUNCTION("GOOGLETRANSLATE(C:C, ""en"",""tr"")"),"Sodyum tiyosiyanat çözeltisi (%56 veya daha az)")</f>
        <v>Sodyum tiyosiyanat çözeltisi (%56 veya daha az)</v>
      </c>
      <c r="E582" s="7" t="s">
        <v>2336</v>
      </c>
      <c r="F582" s="7" t="s">
        <v>2337</v>
      </c>
      <c r="G582" s="7">
        <v>3</v>
      </c>
    </row>
    <row r="583" spans="1:7" ht="12" customHeight="1" x14ac:dyDescent="0.2">
      <c r="A583" s="4">
        <v>582</v>
      </c>
      <c r="B583" s="5" t="s">
        <v>2338</v>
      </c>
      <c r="C583" s="6" t="s">
        <v>2339</v>
      </c>
      <c r="D583" s="12" t="str">
        <f ca="1">IFERROR(__xludf.DUMMYFUNCTION("GOOGLETRANSLATE(C:C, ""en"",""tr"")"),"Soyafasülyesi yağı")</f>
        <v>Soyafasülyesi yağı</v>
      </c>
      <c r="E583" s="7" t="s">
        <v>2340</v>
      </c>
      <c r="F583" s="7" t="s">
        <v>2341</v>
      </c>
      <c r="G583" s="7" t="s">
        <v>2342</v>
      </c>
    </row>
    <row r="584" spans="1:7" ht="12" customHeight="1" x14ac:dyDescent="0.2">
      <c r="A584" s="4">
        <v>583</v>
      </c>
      <c r="B584" s="5" t="s">
        <v>2343</v>
      </c>
      <c r="C584" s="6" t="s">
        <v>2344</v>
      </c>
      <c r="D584" s="12" t="str">
        <f ca="1">IFERROR(__xludf.DUMMYFUNCTION("GOOGLETRANSLATE(C:C, ""en"",""tr"")"),"Stiren monomer")</f>
        <v>Stiren monomer</v>
      </c>
      <c r="E584" s="7" t="s">
        <v>2345</v>
      </c>
      <c r="F584" s="7" t="s">
        <v>2346</v>
      </c>
      <c r="G584" s="7">
        <v>3</v>
      </c>
    </row>
    <row r="585" spans="1:7" ht="12" customHeight="1" x14ac:dyDescent="0.2">
      <c r="A585" s="4">
        <v>584</v>
      </c>
      <c r="B585" s="5" t="s">
        <v>2347</v>
      </c>
      <c r="C585" s="6" t="s">
        <v>2348</v>
      </c>
      <c r="D585" s="12" t="str">
        <f ca="1">IFERROR(__xludf.DUMMYFUNCTION("GOOGLETRANSLATE(C:C, ""en"",""tr"")"),"Sülfolan")</f>
        <v>Sülfolan</v>
      </c>
      <c r="E585" s="7" t="s">
        <v>2349</v>
      </c>
      <c r="F585" s="7" t="s">
        <v>2350</v>
      </c>
      <c r="G585" s="7">
        <v>3</v>
      </c>
    </row>
    <row r="586" spans="1:7" ht="12" customHeight="1" x14ac:dyDescent="0.2">
      <c r="A586" s="4">
        <v>585</v>
      </c>
      <c r="B586" s="5" t="s">
        <v>2351</v>
      </c>
      <c r="C586" s="6" t="s">
        <v>2352</v>
      </c>
      <c r="D586" s="12" t="str">
        <f ca="1">IFERROR(__xludf.DUMMYFUNCTION("GOOGLETRANSLATE(C:C, ""en"",""tr"")"),"Sülfür (erimiş) (*)")</f>
        <v>Sülfür (erimiş) (*)</v>
      </c>
      <c r="E586" s="7" t="s">
        <v>2353</v>
      </c>
      <c r="F586" s="7" t="s">
        <v>2354</v>
      </c>
      <c r="G586" s="7">
        <v>3</v>
      </c>
    </row>
    <row r="587" spans="1:7" ht="12" customHeight="1" x14ac:dyDescent="0.2">
      <c r="A587" s="4">
        <v>586</v>
      </c>
      <c r="B587" s="5" t="s">
        <v>2355</v>
      </c>
      <c r="C587" s="6" t="s">
        <v>2356</v>
      </c>
      <c r="D587" s="12" t="str">
        <f ca="1">IFERROR(__xludf.DUMMYFUNCTION("GOOGLETRANSLATE(C:C, ""en"",""tr"")"),"Sülfürik asit")</f>
        <v>Sülfürik asit</v>
      </c>
      <c r="E587" s="7" t="s">
        <v>2357</v>
      </c>
      <c r="F587" s="7" t="s">
        <v>2358</v>
      </c>
      <c r="G587" s="7">
        <v>2</v>
      </c>
    </row>
    <row r="588" spans="1:7" ht="12" customHeight="1" x14ac:dyDescent="0.2">
      <c r="A588" s="4">
        <v>587</v>
      </c>
      <c r="B588" s="5" t="s">
        <v>2359</v>
      </c>
      <c r="C588" s="6" t="s">
        <v>2360</v>
      </c>
      <c r="D588" s="12" t="str">
        <f ca="1">IFERROR(__xludf.DUMMYFUNCTION("GOOGLETRANSLATE(C:C, ""en"",""tr"")"),"Sülfürik asit, zayıf")</f>
        <v>Sülfürik asit, zayıf</v>
      </c>
      <c r="E588" s="7" t="s">
        <v>2361</v>
      </c>
      <c r="F588" s="7" t="s">
        <v>2362</v>
      </c>
      <c r="G588" s="7">
        <v>2</v>
      </c>
    </row>
    <row r="589" spans="1:7" ht="12" customHeight="1" x14ac:dyDescent="0.2">
      <c r="A589" s="4">
        <v>588</v>
      </c>
      <c r="B589" s="5" t="s">
        <v>2363</v>
      </c>
      <c r="C589" s="6" t="s">
        <v>2364</v>
      </c>
      <c r="D589" s="12" t="str">
        <f ca="1">IFERROR(__xludf.DUMMYFUNCTION("GOOGLETRANSLATE(C:C, ""en"",""tr"")"),"Sülfürize edilmiş yağ (C14-C20)")</f>
        <v>Sülfürize edilmiş yağ (C14-C20)</v>
      </c>
      <c r="E589" s="7" t="s">
        <v>2365</v>
      </c>
      <c r="F589" s="7" t="s">
        <v>2366</v>
      </c>
      <c r="G589" s="7">
        <v>3</v>
      </c>
    </row>
    <row r="590" spans="1:7" ht="12" customHeight="1" x14ac:dyDescent="0.2">
      <c r="A590" s="4">
        <v>589</v>
      </c>
      <c r="B590" s="5" t="s">
        <v>2367</v>
      </c>
      <c r="C590" s="6" t="s">
        <v>2368</v>
      </c>
      <c r="D590" s="12" t="str">
        <f ca="1">IFERROR(__xludf.DUMMYFUNCTION("GOOGLETRANSLATE(C:C, ""en"",""tr"")"),"Ayçiçek yağı")</f>
        <v>Ayçiçek yağı</v>
      </c>
      <c r="E590" s="7" t="s">
        <v>2369</v>
      </c>
      <c r="F590" s="7" t="s">
        <v>2370</v>
      </c>
      <c r="G590" s="7" t="s">
        <v>2371</v>
      </c>
    </row>
    <row r="591" spans="1:7" ht="12" customHeight="1" x14ac:dyDescent="0.2">
      <c r="A591" s="4">
        <v>590</v>
      </c>
      <c r="B591" s="5" t="s">
        <v>2372</v>
      </c>
      <c r="C591" s="6" t="s">
        <v>2373</v>
      </c>
      <c r="D591" s="12" t="str">
        <f ca="1">IFERROR(__xludf.DUMMYFUNCTION("GOOGLETRANSLATE(C:C, ""en"",""tr"")"),"Tall yağı, ham")</f>
        <v>Tall yağı, ham</v>
      </c>
      <c r="E591" s="7" t="s">
        <v>2374</v>
      </c>
      <c r="F591" s="7" t="s">
        <v>2375</v>
      </c>
      <c r="G591" s="7">
        <v>2</v>
      </c>
    </row>
    <row r="592" spans="1:7" ht="12" customHeight="1" x14ac:dyDescent="0.2">
      <c r="A592" s="4">
        <v>591</v>
      </c>
      <c r="B592" s="5" t="s">
        <v>2376</v>
      </c>
      <c r="C592" s="6" t="s">
        <v>2377</v>
      </c>
      <c r="D592" s="12" t="str">
        <f ca="1">IFERROR(__xludf.DUMMYFUNCTION("GOOGLETRANSLATE(C:C, ""en"",""tr"")"),"Tall yağı asidi (reçine asitleri %20'den az)")</f>
        <v>Tall yağı asidi (reçine asitleri %20'den az)</v>
      </c>
      <c r="E592" s="7" t="s">
        <v>2378</v>
      </c>
      <c r="F592" s="7" t="s">
        <v>2379</v>
      </c>
      <c r="G592" s="7">
        <v>2</v>
      </c>
    </row>
    <row r="593" spans="1:7" ht="12" customHeight="1" x14ac:dyDescent="0.2">
      <c r="A593" s="4">
        <v>592</v>
      </c>
      <c r="B593" s="5" t="s">
        <v>2380</v>
      </c>
      <c r="C593" s="6" t="s">
        <v>2381</v>
      </c>
      <c r="D593" s="12" t="str">
        <f ca="1">IFERROR(__xludf.DUMMYFUNCTION("GOOGLETRANSLATE(C:C, ""en"",""tr"")"),"Tall yağı sabunu, ham")</f>
        <v>Tall yağı sabunu, ham</v>
      </c>
      <c r="E593" s="7" t="s">
        <v>2382</v>
      </c>
      <c r="F593" s="7" t="s">
        <v>2383</v>
      </c>
      <c r="G593" s="7">
        <v>2</v>
      </c>
    </row>
    <row r="594" spans="1:7" ht="12" customHeight="1" x14ac:dyDescent="0.2">
      <c r="A594" s="4">
        <v>593</v>
      </c>
      <c r="B594" s="5" t="s">
        <v>2384</v>
      </c>
      <c r="C594" s="6" t="s">
        <v>2385</v>
      </c>
      <c r="D594" s="12" t="str">
        <f ca="1">IFERROR(__xludf.DUMMYFUNCTION("GOOGLETRANSLATE(C:C, ""en"",""tr"")"),"Tetrakloroetan")</f>
        <v>Tetrakloroetan</v>
      </c>
      <c r="E594" s="7" t="s">
        <v>2386</v>
      </c>
      <c r="F594" s="7" t="s">
        <v>2387</v>
      </c>
      <c r="G594" s="7">
        <v>2</v>
      </c>
    </row>
    <row r="595" spans="1:7" ht="12" customHeight="1" x14ac:dyDescent="0.2">
      <c r="A595" s="4">
        <v>594</v>
      </c>
      <c r="B595" s="5" t="s">
        <v>2388</v>
      </c>
      <c r="C595" s="6" t="s">
        <v>2389</v>
      </c>
      <c r="D595" s="12" t="str">
        <f ca="1">IFERROR(__xludf.DUMMYFUNCTION("GOOGLETRANSLATE(C:C, ""en"",""tr"")"),"Tetraetilen pentamin")</f>
        <v>Tetraetilen pentamin</v>
      </c>
      <c r="E595" s="7" t="s">
        <v>2390</v>
      </c>
      <c r="F595" s="7" t="s">
        <v>2391</v>
      </c>
      <c r="G595" s="7">
        <v>2</v>
      </c>
    </row>
    <row r="596" spans="1:7" ht="12" customHeight="1" x14ac:dyDescent="0.2">
      <c r="A596" s="4">
        <v>595</v>
      </c>
      <c r="B596" s="5" t="s">
        <v>2392</v>
      </c>
      <c r="C596" s="6" t="s">
        <v>2393</v>
      </c>
      <c r="D596" s="12" t="str">
        <f ca="1">IFERROR(__xludf.DUMMYFUNCTION("GOOGLETRANSLATE(C:C, ""en"",""tr"")"),"Tetrahidrofuran")</f>
        <v>Tetrahidrofuran</v>
      </c>
      <c r="E596" s="7" t="s">
        <v>2394</v>
      </c>
      <c r="F596" s="7" t="s">
        <v>2395</v>
      </c>
      <c r="G596" s="7">
        <v>3</v>
      </c>
    </row>
    <row r="597" spans="1:7" ht="12" customHeight="1" x14ac:dyDescent="0.2">
      <c r="A597" s="4">
        <v>596</v>
      </c>
      <c r="B597" s="5" t="s">
        <v>2396</v>
      </c>
      <c r="C597" s="6" t="s">
        <v>2397</v>
      </c>
      <c r="D597" s="12" t="str">
        <f ca="1">IFERROR(__xludf.DUMMYFUNCTION("GOOGLETRANSLATE(C:C, ""en"",""tr"")"),"Tetrahidronaftalen")</f>
        <v>Tetrahidronaftalen</v>
      </c>
      <c r="E597" s="7" t="s">
        <v>2398</v>
      </c>
      <c r="F597" s="7" t="s">
        <v>2399</v>
      </c>
      <c r="G597" s="7">
        <v>2</v>
      </c>
    </row>
    <row r="598" spans="1:7" ht="12" customHeight="1" x14ac:dyDescent="0.2">
      <c r="A598" s="4">
        <v>597</v>
      </c>
      <c r="B598" s="5" t="s">
        <v>2400</v>
      </c>
      <c r="C598" s="6" t="s">
        <v>2401</v>
      </c>
      <c r="D598" s="12" t="str">
        <f ca="1">IFERROR(__xludf.DUMMYFUNCTION("GOOGLETRANSLATE(C:C, ""en"",""tr"")"),"Tetrametilbenzen (tüm izomerler)")</f>
        <v>Tetrametilbenzen (tüm izomerler)</v>
      </c>
      <c r="E598" s="7" t="s">
        <v>2402</v>
      </c>
      <c r="F598" s="7" t="s">
        <v>2403</v>
      </c>
      <c r="G598" s="7">
        <v>2</v>
      </c>
    </row>
    <row r="599" spans="1:7" ht="12" customHeight="1" x14ac:dyDescent="0.2">
      <c r="A599" s="4">
        <v>598</v>
      </c>
      <c r="B599" s="5" t="s">
        <v>2404</v>
      </c>
      <c r="C599" s="6" t="s">
        <v>2405</v>
      </c>
      <c r="D599" s="12" t="str">
        <f ca="1">IFERROR(__xludf.DUMMYFUNCTION("GOOGLETRANSLATE(C:C, ""en"",""tr"")"),"Tolüen")</f>
        <v>Tolüen</v>
      </c>
      <c r="E599" s="7" t="s">
        <v>2406</v>
      </c>
      <c r="F599" s="7" t="s">
        <v>2407</v>
      </c>
      <c r="G599" s="7">
        <v>3</v>
      </c>
    </row>
    <row r="600" spans="1:7" ht="12" customHeight="1" x14ac:dyDescent="0.2">
      <c r="A600" s="4">
        <v>599</v>
      </c>
      <c r="B600" s="5" t="s">
        <v>2408</v>
      </c>
      <c r="C600" s="6" t="s">
        <v>2409</v>
      </c>
      <c r="D600" s="12" t="str">
        <f ca="1">IFERROR(__xludf.DUMMYFUNCTION("GOOGLETRANSLATE(C:C, ""en"",""tr"")"),"Toluenediamin")</f>
        <v>Toluenediamin</v>
      </c>
      <c r="E600" s="7" t="s">
        <v>2410</v>
      </c>
      <c r="F600" s="7" t="s">
        <v>2411</v>
      </c>
      <c r="G600" s="7">
        <v>2</v>
      </c>
    </row>
    <row r="601" spans="1:7" ht="12" customHeight="1" x14ac:dyDescent="0.2">
      <c r="A601" s="4">
        <v>600</v>
      </c>
      <c r="B601" s="5" t="s">
        <v>2412</v>
      </c>
      <c r="C601" s="6" t="s">
        <v>2413</v>
      </c>
      <c r="D601" s="12" t="str">
        <f ca="1">IFERROR(__xludf.DUMMYFUNCTION("GOOGLETRANSLATE(C:C, ""en"",""tr"")"),"Toluen diisosiyanat")</f>
        <v>Toluen diisosiyanat</v>
      </c>
      <c r="E601" s="7" t="s">
        <v>2414</v>
      </c>
      <c r="F601" s="7" t="s">
        <v>2415</v>
      </c>
      <c r="G601" s="7">
        <v>2</v>
      </c>
    </row>
    <row r="602" spans="1:7" ht="12" customHeight="1" x14ac:dyDescent="0.2">
      <c r="A602" s="4">
        <v>601</v>
      </c>
      <c r="B602" s="5" t="s">
        <v>2416</v>
      </c>
      <c r="C602" s="6" t="s">
        <v>2417</v>
      </c>
      <c r="D602" s="12" t="str">
        <f ca="1">IFERROR(__xludf.DUMMYFUNCTION("GOOGLETRANSLATE(C:C, ""en"",""tr"")"),"O-toluidin")</f>
        <v>O-toluidin</v>
      </c>
      <c r="E602" s="7" t="s">
        <v>2418</v>
      </c>
      <c r="F602" s="7" t="s">
        <v>2419</v>
      </c>
      <c r="G602" s="7">
        <v>2</v>
      </c>
    </row>
    <row r="603" spans="1:7" ht="12" customHeight="1" x14ac:dyDescent="0.2">
      <c r="A603" s="4">
        <v>602</v>
      </c>
      <c r="B603" s="5" t="s">
        <v>2420</v>
      </c>
      <c r="C603" s="6" t="s">
        <v>2421</v>
      </c>
      <c r="D603" s="12" t="str">
        <f ca="1">IFERROR(__xludf.DUMMYFUNCTION("GOOGLETRANSLATE(C:C, ""en"",""tr"")"),"Tributil fosfat")</f>
        <v>Tributil fosfat</v>
      </c>
      <c r="E603" s="7" t="s">
        <v>2422</v>
      </c>
      <c r="F603" s="7" t="s">
        <v>2423</v>
      </c>
      <c r="G603" s="7">
        <v>3</v>
      </c>
    </row>
    <row r="604" spans="1:7" ht="12" customHeight="1" x14ac:dyDescent="0.2">
      <c r="A604" s="4">
        <v>603</v>
      </c>
      <c r="B604" s="5" t="s">
        <v>2424</v>
      </c>
      <c r="C604" s="6" t="s">
        <v>2425</v>
      </c>
      <c r="D604" s="12" t="str">
        <f ca="1">IFERROR(__xludf.DUMMYFUNCTION("GOOGLETRANSLATE(C:C, ""en"",""tr"")"),"1,2,3-triklorobenzen (erimiş)")</f>
        <v>1,2,3-triklorobenzen (erimiş)</v>
      </c>
      <c r="E604" s="7" t="s">
        <v>2426</v>
      </c>
      <c r="F604" s="7" t="s">
        <v>2427</v>
      </c>
      <c r="G604" s="7">
        <v>2</v>
      </c>
    </row>
    <row r="605" spans="1:7" ht="12" customHeight="1" x14ac:dyDescent="0.2">
      <c r="A605" s="4">
        <v>604</v>
      </c>
      <c r="B605" s="5" t="s">
        <v>2428</v>
      </c>
      <c r="C605" s="6" t="s">
        <v>2429</v>
      </c>
      <c r="D605" s="12" t="str">
        <f ca="1">IFERROR(__xludf.DUMMYFUNCTION("GOOGLETRANSLATE(C:C, ""en"",""tr"")"),"1,2,4-triklorobenzen")</f>
        <v>1,2,4-triklorobenzen</v>
      </c>
      <c r="E605" s="7" t="s">
        <v>2430</v>
      </c>
      <c r="F605" s="7" t="s">
        <v>2431</v>
      </c>
      <c r="G605" s="7">
        <v>1</v>
      </c>
    </row>
    <row r="606" spans="1:7" ht="12" customHeight="1" x14ac:dyDescent="0.2">
      <c r="A606" s="4">
        <v>605</v>
      </c>
      <c r="B606" s="5" t="s">
        <v>2432</v>
      </c>
      <c r="C606" s="6" t="s">
        <v>2433</v>
      </c>
      <c r="D606" s="12" t="str">
        <f ca="1">IFERROR(__xludf.DUMMYFUNCTION("GOOGLETRANSLATE(C:C, ""en"",""tr"")"),"1,1,2-trikloroetan")</f>
        <v>1,1,2-trikloroetan</v>
      </c>
      <c r="E606" s="7" t="s">
        <v>2434</v>
      </c>
      <c r="F606" s="7" t="s">
        <v>2435</v>
      </c>
      <c r="G606" s="7">
        <v>3</v>
      </c>
    </row>
    <row r="607" spans="1:7" ht="12" customHeight="1" x14ac:dyDescent="0.2">
      <c r="A607" s="4">
        <v>606</v>
      </c>
      <c r="B607" s="5" t="s">
        <v>2436</v>
      </c>
      <c r="C607" s="6" t="s">
        <v>2437</v>
      </c>
      <c r="D607" s="12" t="str">
        <f ca="1">IFERROR(__xludf.DUMMYFUNCTION("GOOGLETRANSLATE(C:C, ""en"",""tr"")"),"Trikloroetilen")</f>
        <v>Trikloroetilen</v>
      </c>
      <c r="E607" s="7" t="s">
        <v>2438</v>
      </c>
      <c r="F607" s="7" t="s">
        <v>2439</v>
      </c>
      <c r="G607" s="7">
        <v>2</v>
      </c>
    </row>
    <row r="608" spans="1:7" ht="12" customHeight="1" x14ac:dyDescent="0.2">
      <c r="A608" s="4">
        <v>607</v>
      </c>
      <c r="B608" s="5" t="s">
        <v>2440</v>
      </c>
      <c r="C608" s="6" t="s">
        <v>2441</v>
      </c>
      <c r="D608" s="12" t="str">
        <f ca="1">IFERROR(__xludf.DUMMYFUNCTION("GOOGLETRANSLATE(C:C, ""en"",""tr"")"),"1,2,3-trikloropropan")</f>
        <v>1,2,3-trikloropropan</v>
      </c>
      <c r="E608" s="7" t="s">
        <v>2442</v>
      </c>
      <c r="F608" s="7" t="s">
        <v>2443</v>
      </c>
      <c r="G608" s="7">
        <v>3</v>
      </c>
    </row>
    <row r="609" spans="1:7" ht="12" customHeight="1" x14ac:dyDescent="0.2">
      <c r="A609" s="4">
        <v>608</v>
      </c>
      <c r="B609" s="5" t="s">
        <v>2444</v>
      </c>
      <c r="C609" s="6" t="s">
        <v>2445</v>
      </c>
      <c r="D609" s="12" t="str">
        <f ca="1">IFERROR(__xludf.DUMMYFUNCTION("GOOGLETRANSLATE(C:C, ""en"",""tr"")"),"Trikresil fosfat (%1 veya daha fazla orto-izomer içeren)")</f>
        <v>Trikresil fosfat (%1 veya daha fazla orto-izomer içeren)</v>
      </c>
      <c r="E609" s="7" t="s">
        <v>2446</v>
      </c>
      <c r="F609" s="7" t="s">
        <v>2447</v>
      </c>
      <c r="G609" s="7">
        <v>2</v>
      </c>
    </row>
    <row r="610" spans="1:7" ht="12" customHeight="1" x14ac:dyDescent="0.2">
      <c r="A610" s="4">
        <v>609</v>
      </c>
      <c r="B610" s="5" t="s">
        <v>2448</v>
      </c>
      <c r="C610" s="6" t="s">
        <v>2449</v>
      </c>
      <c r="D610" s="12" t="str">
        <f ca="1">IFERROR(__xludf.DUMMYFUNCTION("GOOGLETRANSLATE(C:C, ""en"",""tr"")"),"Trikresil fosfat (%1 orto-izomerden az içeren)")</f>
        <v>Trikresil fosfat (%1 orto-izomerden az içeren)</v>
      </c>
      <c r="E610" s="7" t="s">
        <v>2450</v>
      </c>
      <c r="F610" s="7" t="s">
        <v>2451</v>
      </c>
      <c r="G610" s="7">
        <v>2</v>
      </c>
    </row>
    <row r="611" spans="1:7" ht="12" customHeight="1" x14ac:dyDescent="0.2">
      <c r="A611" s="4">
        <v>610</v>
      </c>
      <c r="B611" s="5" t="s">
        <v>2452</v>
      </c>
      <c r="C611" s="6" t="s">
        <v>2453</v>
      </c>
      <c r="D611" s="12" t="str">
        <f ca="1">IFERROR(__xludf.DUMMYFUNCTION("GOOGLETRANSLATE(C:C, ""en"",""tr"")"),"Tridekan")</f>
        <v>Tridekan</v>
      </c>
      <c r="E611" s="7" t="s">
        <v>2454</v>
      </c>
      <c r="F611" s="7" t="s">
        <v>2455</v>
      </c>
      <c r="G611" s="7">
        <v>2</v>
      </c>
    </row>
    <row r="612" spans="1:7" ht="12" customHeight="1" x14ac:dyDescent="0.2">
      <c r="A612" s="4">
        <v>611</v>
      </c>
      <c r="B612" s="5" t="s">
        <v>2456</v>
      </c>
      <c r="C612" s="6" t="s">
        <v>2457</v>
      </c>
      <c r="D612" s="12" t="str">
        <f ca="1">IFERROR(__xludf.DUMMYFUNCTION("GOOGLETRANSLATE(C:C, ""en"",""tr"")"),"Tridekanoik asit")</f>
        <v>Tridekanoik asit</v>
      </c>
      <c r="E612" s="7" t="s">
        <v>2458</v>
      </c>
      <c r="F612" s="7" t="s">
        <v>2459</v>
      </c>
      <c r="G612" s="7">
        <v>2</v>
      </c>
    </row>
    <row r="613" spans="1:7" ht="12" customHeight="1" x14ac:dyDescent="0.2">
      <c r="A613" s="4">
        <v>612</v>
      </c>
      <c r="B613" s="5" t="s">
        <v>2460</v>
      </c>
      <c r="C613" s="6" t="s">
        <v>2461</v>
      </c>
      <c r="D613" s="12" t="str">
        <f ca="1">IFERROR(__xludf.DUMMYFUNCTION("GOOGLETRANSLATE(C:C, ""en"",""tr"")"),"Tridesil asetat")</f>
        <v>Tridesil asetat</v>
      </c>
      <c r="E613" s="7" t="s">
        <v>2462</v>
      </c>
      <c r="F613" s="7" t="s">
        <v>2463</v>
      </c>
      <c r="G613" s="7">
        <v>3</v>
      </c>
    </row>
    <row r="614" spans="1:7" ht="12" customHeight="1" x14ac:dyDescent="0.2">
      <c r="A614" s="4">
        <v>613</v>
      </c>
      <c r="B614" s="5" t="s">
        <v>2464</v>
      </c>
      <c r="C614" s="6" t="s">
        <v>2465</v>
      </c>
      <c r="D614" s="12" t="str">
        <f ca="1">IFERROR(__xludf.DUMMYFUNCTION("GOOGLETRANSLATE(C:C, ""en"",""tr"")"),"Trietanolamin")</f>
        <v>Trietanolamin</v>
      </c>
      <c r="E614" s="7" t="s">
        <v>2466</v>
      </c>
      <c r="F614" s="7" t="s">
        <v>2467</v>
      </c>
      <c r="G614" s="7">
        <v>3</v>
      </c>
    </row>
    <row r="615" spans="1:7" ht="12" customHeight="1" x14ac:dyDescent="0.2">
      <c r="A615" s="4">
        <v>614</v>
      </c>
      <c r="B615" s="5" t="s">
        <v>2468</v>
      </c>
      <c r="C615" s="6" t="s">
        <v>2469</v>
      </c>
      <c r="D615" s="12" t="str">
        <f ca="1">IFERROR(__xludf.DUMMYFUNCTION("GOOGLETRANSLATE(C:C, ""en"",""tr"")"),"Trietilamin")</f>
        <v>Trietilamin</v>
      </c>
      <c r="E615" s="7" t="s">
        <v>2470</v>
      </c>
      <c r="F615" s="7" t="s">
        <v>2471</v>
      </c>
      <c r="G615" s="7">
        <v>3</v>
      </c>
    </row>
    <row r="616" spans="1:7" ht="12" customHeight="1" x14ac:dyDescent="0.2">
      <c r="A616" s="4">
        <v>615</v>
      </c>
      <c r="B616" s="5" t="s">
        <v>2472</v>
      </c>
      <c r="C616" s="6" t="s">
        <v>2473</v>
      </c>
      <c r="D616" s="12" t="str">
        <f ca="1">IFERROR(__xludf.DUMMYFUNCTION("GOOGLETRANSLATE(C:C, ""en"",""tr"")"),"Trietilbenzen")</f>
        <v>Trietilbenzen</v>
      </c>
      <c r="E616" s="7" t="s">
        <v>2474</v>
      </c>
      <c r="F616" s="7" t="s">
        <v>2475</v>
      </c>
      <c r="G616" s="7">
        <v>2</v>
      </c>
    </row>
    <row r="617" spans="1:7" ht="12" customHeight="1" x14ac:dyDescent="0.2">
      <c r="A617" s="4">
        <v>616</v>
      </c>
      <c r="B617" s="5" t="s">
        <v>2476</v>
      </c>
      <c r="C617" s="6" t="s">
        <v>2477</v>
      </c>
      <c r="D617" s="12" t="str">
        <f ca="1">IFERROR(__xludf.DUMMYFUNCTION("GOOGLETRANSLATE(C:C, ""en"",""tr"")"),"Trietilenetetramin")</f>
        <v>Trietilenetetramin</v>
      </c>
      <c r="E617" s="7" t="s">
        <v>2478</v>
      </c>
      <c r="F617" s="7" t="s">
        <v>2479</v>
      </c>
      <c r="G617" s="7">
        <v>2</v>
      </c>
    </row>
    <row r="618" spans="1:7" ht="12" customHeight="1" x14ac:dyDescent="0.2">
      <c r="A618" s="4">
        <v>617</v>
      </c>
      <c r="B618" s="5" t="s">
        <v>2480</v>
      </c>
      <c r="C618" s="6" t="s">
        <v>2481</v>
      </c>
      <c r="D618" s="12" t="str">
        <f ca="1">IFERROR(__xludf.DUMMYFUNCTION("GOOGLETRANSLATE(C:C, ""en"",""tr"")"),"Trietil fosfat")</f>
        <v>Trietil fosfat</v>
      </c>
      <c r="E618" s="7" t="s">
        <v>2482</v>
      </c>
      <c r="F618" s="7" t="s">
        <v>2483</v>
      </c>
      <c r="G618" s="7">
        <v>3</v>
      </c>
    </row>
    <row r="619" spans="1:7" ht="12" customHeight="1" x14ac:dyDescent="0.2">
      <c r="A619" s="4">
        <v>618</v>
      </c>
      <c r="B619" s="5" t="s">
        <v>2484</v>
      </c>
      <c r="C619" s="6" t="s">
        <v>2485</v>
      </c>
      <c r="D619" s="12" t="str">
        <f ca="1">IFERROR(__xludf.DUMMYFUNCTION("GOOGLETRANSLATE(C:C, ""en"",""tr"")"),"Trietil fosfit")</f>
        <v>Trietil fosfit</v>
      </c>
      <c r="E619" s="7" t="s">
        <v>2486</v>
      </c>
      <c r="F619" s="7" t="s">
        <v>2487</v>
      </c>
      <c r="G619" s="7">
        <v>3</v>
      </c>
    </row>
    <row r="620" spans="1:7" ht="12" customHeight="1" x14ac:dyDescent="0.2">
      <c r="A620" s="4">
        <v>619</v>
      </c>
      <c r="B620" s="5" t="s">
        <v>2488</v>
      </c>
      <c r="C620" s="6" t="s">
        <v>2489</v>
      </c>
      <c r="D620" s="12" t="str">
        <f ca="1">IFERROR(__xludf.DUMMYFUNCTION("GOOGLETRANSLATE(C:C, ""en"",""tr"")"),"Triisopropanolamin")</f>
        <v>Triisopropanolamin</v>
      </c>
      <c r="E620" s="7" t="s">
        <v>2490</v>
      </c>
      <c r="F620" s="7" t="s">
        <v>2491</v>
      </c>
      <c r="G620" s="7">
        <v>3</v>
      </c>
    </row>
    <row r="621" spans="1:7" ht="12" customHeight="1" x14ac:dyDescent="0.2">
      <c r="A621" s="4">
        <v>620</v>
      </c>
      <c r="B621" s="5" t="s">
        <v>2492</v>
      </c>
      <c r="C621" s="6" t="s">
        <v>2493</v>
      </c>
      <c r="D621" s="12" t="str">
        <f ca="1">IFERROR(__xludf.DUMMYFUNCTION("GOOGLETRANSLATE(C:C, ""en"",""tr"")"),"Trimetilasetik asit")</f>
        <v>Trimetilasetik asit</v>
      </c>
      <c r="E621" s="7" t="s">
        <v>2494</v>
      </c>
      <c r="F621" s="7" t="s">
        <v>2495</v>
      </c>
      <c r="G621" s="7">
        <v>2</v>
      </c>
    </row>
    <row r="622" spans="1:7" ht="12" customHeight="1" x14ac:dyDescent="0.2">
      <c r="A622" s="4">
        <v>621</v>
      </c>
      <c r="B622" s="5" t="s">
        <v>2496</v>
      </c>
      <c r="C622" s="6" t="s">
        <v>2497</v>
      </c>
      <c r="D622" s="12" t="str">
        <f ca="1">IFERROR(__xludf.DUMMYFUNCTION("GOOGLETRANSLATE(C:C, ""en"",""tr"")"),"Trimetilamin çözeltisi (%30 veya daha az)")</f>
        <v>Trimetilamin çözeltisi (%30 veya daha az)</v>
      </c>
      <c r="E622" s="7" t="s">
        <v>2498</v>
      </c>
      <c r="F622" s="7" t="s">
        <v>2499</v>
      </c>
      <c r="G622" s="7">
        <v>2</v>
      </c>
    </row>
    <row r="623" spans="1:7" ht="12" customHeight="1" x14ac:dyDescent="0.2">
      <c r="A623" s="4">
        <v>622</v>
      </c>
      <c r="B623" s="5" t="s">
        <v>2500</v>
      </c>
      <c r="C623" s="6" t="s">
        <v>2501</v>
      </c>
      <c r="D623" s="12" t="str">
        <f ca="1">IFERROR(__xludf.DUMMYFUNCTION("GOOGLETRANSLATE(C:C, ""en"",""tr"")"),"Trimetilbenzen (tüm izomerler)")</f>
        <v>Trimetilbenzen (tüm izomerler)</v>
      </c>
      <c r="E623" s="7" t="s">
        <v>2502</v>
      </c>
      <c r="F623" s="7" t="s">
        <v>2503</v>
      </c>
      <c r="G623" s="7">
        <v>2</v>
      </c>
    </row>
    <row r="624" spans="1:7" ht="12" customHeight="1" x14ac:dyDescent="0.2">
      <c r="A624" s="4">
        <v>623</v>
      </c>
      <c r="B624" s="5" t="s">
        <v>2504</v>
      </c>
      <c r="C624" s="6" t="s">
        <v>2505</v>
      </c>
      <c r="D624" s="12" t="str">
        <f ca="1">IFERROR(__xludf.DUMMYFUNCTION("GOOGLETRANSLATE(C:C, ""en"",""tr"")"),"Trimetilol propan propoksilatlı")</f>
        <v>Trimetilol propan propoksilatlı</v>
      </c>
      <c r="E624" s="7" t="s">
        <v>2506</v>
      </c>
      <c r="F624" s="7" t="s">
        <v>2507</v>
      </c>
      <c r="G624" s="7">
        <v>3</v>
      </c>
    </row>
    <row r="625" spans="1:7" ht="12" customHeight="1" x14ac:dyDescent="0.2">
      <c r="A625" s="4">
        <v>624</v>
      </c>
      <c r="B625" s="5" t="s">
        <v>2508</v>
      </c>
      <c r="C625" s="6" t="s">
        <v>2509</v>
      </c>
      <c r="D625" s="12" t="str">
        <f ca="1">IFERROR(__xludf.DUMMYFUNCTION("GOOGLETRANSLATE(C:C, ""en"",""tr"")"),"2,2,4-trimetil-1,3-pentanediol diisobutirat")</f>
        <v>2,2,4-trimetil-1,3-pentanediol diisobutirat</v>
      </c>
      <c r="E625" s="7" t="s">
        <v>2510</v>
      </c>
      <c r="F625" s="7" t="s">
        <v>2511</v>
      </c>
      <c r="G625" s="7">
        <v>3</v>
      </c>
    </row>
    <row r="626" spans="1:7" ht="12" customHeight="1" x14ac:dyDescent="0.2">
      <c r="A626" s="4">
        <v>625</v>
      </c>
      <c r="B626" s="5" t="s">
        <v>2512</v>
      </c>
      <c r="C626" s="6" t="s">
        <v>2513</v>
      </c>
      <c r="D626" s="12" t="str">
        <f ca="1">IFERROR(__xludf.DUMMYFUNCTION("GOOGLETRANSLATE(C:C, ""en"",""tr"")"),"2,2,4-trimetil-1,3-pentanediol-1-izobutirat")</f>
        <v>2,2,4-trimetil-1,3-pentanediol-1-izobutirat</v>
      </c>
      <c r="E626" s="7" t="s">
        <v>2514</v>
      </c>
      <c r="F626" s="7" t="s">
        <v>2515</v>
      </c>
      <c r="G626" s="7">
        <v>2</v>
      </c>
    </row>
    <row r="627" spans="1:7" ht="12" customHeight="1" x14ac:dyDescent="0.2">
      <c r="A627" s="4">
        <v>626</v>
      </c>
      <c r="B627" s="5" t="s">
        <v>2516</v>
      </c>
      <c r="C627" s="6" t="s">
        <v>2517</v>
      </c>
      <c r="D627" s="12" t="str">
        <f ca="1">IFERROR(__xludf.DUMMYFUNCTION("GOOGLETRANSLATE(C:C, ""en"",""tr"")"),"1,3,5-trioksan")</f>
        <v>1,3,5-trioksan</v>
      </c>
      <c r="E627" s="7" t="s">
        <v>2518</v>
      </c>
      <c r="F627" s="7" t="s">
        <v>2519</v>
      </c>
      <c r="G627" s="7">
        <v>3</v>
      </c>
    </row>
    <row r="628" spans="1:7" ht="12" customHeight="1" x14ac:dyDescent="0.2">
      <c r="A628" s="4">
        <v>627</v>
      </c>
      <c r="B628" s="5" t="s">
        <v>2520</v>
      </c>
      <c r="C628" s="6" t="s">
        <v>2521</v>
      </c>
      <c r="D628" s="12" t="str">
        <f ca="1">IFERROR(__xludf.DUMMYFUNCTION("GOOGLETRANSLATE(C:C, ""en"",""tr"")"),"Triksyil fosfat")</f>
        <v>Triksyil fosfat</v>
      </c>
      <c r="E628" s="7" t="s">
        <v>2522</v>
      </c>
      <c r="F628" s="7" t="s">
        <v>2523</v>
      </c>
      <c r="G628" s="7">
        <v>1</v>
      </c>
    </row>
    <row r="629" spans="1:7" ht="12" customHeight="1" x14ac:dyDescent="0.2">
      <c r="A629" s="4">
        <v>628</v>
      </c>
      <c r="B629" s="5" t="s">
        <v>2524</v>
      </c>
      <c r="C629" s="6" t="s">
        <v>2525</v>
      </c>
      <c r="D629" s="12" t="str">
        <f ca="1">IFERROR(__xludf.DUMMYFUNCTION("GOOGLETRANSLATE(C:C, ""en"",""tr"")"),"Tung yağı")</f>
        <v>Tung yağı</v>
      </c>
      <c r="E629" s="7" t="s">
        <v>2526</v>
      </c>
      <c r="F629" s="7" t="s">
        <v>2527</v>
      </c>
      <c r="G629" s="7" t="s">
        <v>2528</v>
      </c>
    </row>
    <row r="630" spans="1:7" ht="12" customHeight="1" x14ac:dyDescent="0.2">
      <c r="A630" s="4">
        <v>629</v>
      </c>
      <c r="B630" s="5" t="s">
        <v>2529</v>
      </c>
      <c r="C630" s="6" t="s">
        <v>2530</v>
      </c>
      <c r="D630" s="12" t="str">
        <f ca="1">IFERROR(__xludf.DUMMYFUNCTION("GOOGLETRANSLATE(C:C, ""en"",""tr"")"),"Terebentin")</f>
        <v>Terebentin</v>
      </c>
      <c r="E630" s="7" t="s">
        <v>2531</v>
      </c>
      <c r="F630" s="7" t="s">
        <v>2532</v>
      </c>
      <c r="G630" s="7">
        <v>2</v>
      </c>
    </row>
    <row r="631" spans="1:7" ht="12" customHeight="1" x14ac:dyDescent="0.2">
      <c r="A631" s="4">
        <v>630</v>
      </c>
      <c r="B631" s="5" t="s">
        <v>2533</v>
      </c>
      <c r="C631" s="6" t="s">
        <v>2534</v>
      </c>
      <c r="D631" s="12" t="str">
        <f ca="1">IFERROR(__xludf.DUMMYFUNCTION("GOOGLETRANSLATE(C:C, ""en"",""tr"")"),"Undekanoik asit")</f>
        <v>Undekanoik asit</v>
      </c>
      <c r="E631" s="7" t="s">
        <v>2535</v>
      </c>
      <c r="F631" s="7" t="s">
        <v>2536</v>
      </c>
      <c r="G631" s="7">
        <v>2</v>
      </c>
    </row>
    <row r="632" spans="1:7" ht="12" customHeight="1" x14ac:dyDescent="0.2">
      <c r="A632" s="4">
        <v>631</v>
      </c>
      <c r="B632" s="5" t="s">
        <v>2537</v>
      </c>
      <c r="C632" s="6" t="s">
        <v>2538</v>
      </c>
      <c r="D632" s="12" t="str">
        <f ca="1">IFERROR(__xludf.DUMMYFUNCTION("GOOGLETRANSLATE(C:C, ""en"",""tr"")"),"1-undesen")</f>
        <v>1-undesen</v>
      </c>
      <c r="E632" s="7" t="s">
        <v>2539</v>
      </c>
      <c r="F632" s="7" t="s">
        <v>2540</v>
      </c>
      <c r="G632" s="7">
        <v>2</v>
      </c>
    </row>
    <row r="633" spans="1:7" ht="12" customHeight="1" x14ac:dyDescent="0.2">
      <c r="A633" s="4">
        <v>632</v>
      </c>
      <c r="B633" s="5" t="s">
        <v>2541</v>
      </c>
      <c r="C633" s="6" t="s">
        <v>2542</v>
      </c>
      <c r="D633" s="12" t="str">
        <f ca="1">IFERROR(__xludf.DUMMYFUNCTION("GOOGLETRANSLATE(C:C, ""en"",""tr"")"),"Undesil alkol")</f>
        <v>Undesil alkol</v>
      </c>
      <c r="E633" s="7" t="s">
        <v>2543</v>
      </c>
      <c r="F633" s="7" t="s">
        <v>2544</v>
      </c>
      <c r="G633" s="7">
        <v>2</v>
      </c>
    </row>
    <row r="634" spans="1:7" ht="12" customHeight="1" x14ac:dyDescent="0.2">
      <c r="A634" s="4">
        <v>633</v>
      </c>
      <c r="B634" s="5" t="s">
        <v>2545</v>
      </c>
      <c r="C634" s="6" t="s">
        <v>2546</v>
      </c>
      <c r="D634" s="12" t="str">
        <f ca="1">IFERROR(__xludf.DUMMYFUNCTION("GOOGLETRANSLATE(C:C, ""en"",""tr"")"),"Üre / Amonyum Nitrat Çözeltisi")</f>
        <v>Üre / Amonyum Nitrat Çözeltisi</v>
      </c>
      <c r="E634" s="7" t="s">
        <v>2547</v>
      </c>
      <c r="F634" s="7" t="s">
        <v>2548</v>
      </c>
      <c r="G634" s="7">
        <v>3</v>
      </c>
    </row>
    <row r="635" spans="1:7" ht="12" customHeight="1" x14ac:dyDescent="0.2">
      <c r="A635" s="4">
        <v>634</v>
      </c>
      <c r="B635" s="5" t="s">
        <v>2549</v>
      </c>
      <c r="C635" s="6" t="s">
        <v>2550</v>
      </c>
      <c r="D635" s="12" t="str">
        <f ca="1">IFERROR(__xludf.DUMMYFUNCTION("GOOGLETRANSLATE(C:C, ""en"",""tr"")"),"Üre / Amonyum Fosfat Çözeltisi")</f>
        <v>Üre / Amonyum Fosfat Çözeltisi</v>
      </c>
      <c r="E635" s="7" t="s">
        <v>2551</v>
      </c>
      <c r="F635" s="7" t="s">
        <v>2552</v>
      </c>
      <c r="G635" s="7">
        <v>2</v>
      </c>
    </row>
    <row r="636" spans="1:7" ht="12" customHeight="1" x14ac:dyDescent="0.2">
      <c r="A636" s="4">
        <v>635</v>
      </c>
      <c r="B636" s="5" t="s">
        <v>2553</v>
      </c>
      <c r="C636" s="6" t="s">
        <v>2554</v>
      </c>
      <c r="D636" s="12" t="str">
        <f ca="1">IFERROR(__xludf.DUMMYFUNCTION("GOOGLETRANSLATE(C:C, ""en"",""tr"")"),"Üre Çözeltisi")</f>
        <v>Üre Çözeltisi</v>
      </c>
      <c r="E636" s="7" t="s">
        <v>2555</v>
      </c>
      <c r="F636" s="7" t="s">
        <v>2556</v>
      </c>
      <c r="G636" s="7">
        <v>3</v>
      </c>
    </row>
    <row r="637" spans="1:7" ht="12" customHeight="1" x14ac:dyDescent="0.2">
      <c r="A637" s="4">
        <v>636</v>
      </c>
      <c r="B637" s="5" t="s">
        <v>2557</v>
      </c>
      <c r="C637" s="6" t="s">
        <v>2558</v>
      </c>
      <c r="D637" s="12" t="str">
        <f ca="1">IFERROR(__xludf.DUMMYFUNCTION("GOOGLETRANSLATE(C:C, ""en"",""tr"")"),"Kullanılan Pişirme Yağı (M)")</f>
        <v>Kullanılan Pişirme Yağı (M)</v>
      </c>
      <c r="E637" s="7" t="s">
        <v>2559</v>
      </c>
      <c r="F637" s="7" t="s">
        <v>2560</v>
      </c>
      <c r="G637" s="7">
        <v>2</v>
      </c>
    </row>
    <row r="638" spans="1:7" ht="12" customHeight="1" x14ac:dyDescent="0.2">
      <c r="A638" s="4">
        <v>637</v>
      </c>
      <c r="B638" s="5" t="s">
        <v>2561</v>
      </c>
      <c r="C638" s="6" t="s">
        <v>2562</v>
      </c>
      <c r="D638" s="12" t="str">
        <f ca="1">IFERROR(__xludf.DUMMYFUNCTION("GOOGLETRANSLATE(C:C, ""en"",""tr"")"),"Kullanılan pişirme yağı (trigliseritler, C16-C18 ve C18 doymamış) ** (m)")</f>
        <v>Kullanılan pişirme yağı (trigliseritler, C16-C18 ve C18 doymamış) ** (m)</v>
      </c>
      <c r="E638" s="7" t="s">
        <v>2563</v>
      </c>
      <c r="F638" s="7" t="s">
        <v>2564</v>
      </c>
      <c r="G638" s="7">
        <v>2</v>
      </c>
    </row>
    <row r="639" spans="1:7" ht="12" customHeight="1" x14ac:dyDescent="0.2">
      <c r="A639" s="4">
        <v>638</v>
      </c>
      <c r="B639" s="5" t="s">
        <v>2565</v>
      </c>
      <c r="C639" s="6" t="s">
        <v>2566</v>
      </c>
      <c r="D639" s="12" t="str">
        <f ca="1">IFERROR(__xludf.DUMMYFUNCTION("GOOGLETRANSLATE(C:C, ""en"",""tr"")"),"Valeraldehit (tüm izomerler)")</f>
        <v>Valeraldehit (tüm izomerler)</v>
      </c>
      <c r="E639" s="7" t="s">
        <v>2567</v>
      </c>
      <c r="F639" s="7" t="s">
        <v>2568</v>
      </c>
      <c r="G639" s="7">
        <v>3</v>
      </c>
    </row>
    <row r="640" spans="1:7" ht="12" customHeight="1" x14ac:dyDescent="0.2">
      <c r="A640" s="4">
        <v>639</v>
      </c>
      <c r="B640" s="5" t="s">
        <v>2569</v>
      </c>
      <c r="C640" s="6" t="s">
        <v>2570</v>
      </c>
      <c r="D640" s="12" t="str">
        <f ca="1">IFERROR(__xludf.DUMMYFUNCTION("GOOGLETRANSLATE(C:C, ""en"",""tr"")"),"Bitkisel asit yağları (m)")</f>
        <v>Bitkisel asit yağları (m)</v>
      </c>
      <c r="E640" s="7" t="s">
        <v>2571</v>
      </c>
      <c r="F640" s="7" t="s">
        <v>2572</v>
      </c>
      <c r="G640" s="7">
        <v>2</v>
      </c>
    </row>
    <row r="641" spans="1:7" ht="12" customHeight="1" x14ac:dyDescent="0.2">
      <c r="A641" s="4">
        <v>640</v>
      </c>
      <c r="B641" s="5" t="s">
        <v>2573</v>
      </c>
      <c r="C641" s="6" t="s">
        <v>2574</v>
      </c>
      <c r="D641" s="12" t="str">
        <f ca="1">IFERROR(__xludf.DUMMYFUNCTION("GOOGLETRANSLATE(C:C, ""en"",""tr"")"),"% 15'ten az serbest yağ asidi (m) içeren bitkisel yağ karışımları")</f>
        <v>% 15'ten az serbest yağ asidi (m) içeren bitkisel yağ karışımları</v>
      </c>
      <c r="E641" s="7" t="s">
        <v>2575</v>
      </c>
      <c r="F641" s="7" t="s">
        <v>2576</v>
      </c>
      <c r="G641" s="7">
        <v>2</v>
      </c>
    </row>
    <row r="642" spans="1:7" ht="12" customHeight="1" x14ac:dyDescent="0.2">
      <c r="A642" s="4">
        <v>641</v>
      </c>
      <c r="B642" s="5" t="s">
        <v>2577</v>
      </c>
      <c r="C642" s="6" t="s">
        <v>2578</v>
      </c>
      <c r="D642" s="12" t="str">
        <f ca="1">IFERROR(__xludf.DUMMYFUNCTION("GOOGLETRANSLATE(C:C, ""en"",""tr"")"),"Vinil asetat")</f>
        <v>Vinil asetat</v>
      </c>
      <c r="E642" s="7" t="s">
        <v>2579</v>
      </c>
      <c r="F642" s="7" t="s">
        <v>2580</v>
      </c>
      <c r="G642" s="7">
        <v>3</v>
      </c>
    </row>
    <row r="643" spans="1:7" ht="12" customHeight="1" x14ac:dyDescent="0.2">
      <c r="A643" s="4">
        <v>642</v>
      </c>
      <c r="B643" s="5" t="s">
        <v>2581</v>
      </c>
      <c r="C643" s="6" t="s">
        <v>2582</v>
      </c>
      <c r="D643" s="12" t="str">
        <f ca="1">IFERROR(__xludf.DUMMYFUNCTION("GOOGLETRANSLATE(C:C, ""en"",""tr"")"),"Vinil etil eter")</f>
        <v>Vinil etil eter</v>
      </c>
      <c r="E643" s="7" t="s">
        <v>2583</v>
      </c>
      <c r="F643" s="7" t="s">
        <v>2584</v>
      </c>
      <c r="G643" s="7">
        <v>2</v>
      </c>
    </row>
    <row r="644" spans="1:7" ht="12" customHeight="1" x14ac:dyDescent="0.2">
      <c r="A644" s="4">
        <v>643</v>
      </c>
      <c r="B644" s="5" t="s">
        <v>2585</v>
      </c>
      <c r="C644" s="6" t="s">
        <v>2586</v>
      </c>
      <c r="D644" s="12" t="str">
        <f ca="1">IFERROR(__xludf.DUMMYFUNCTION("GOOGLETRANSLATE(C:C, ""en"",""tr"")"),"Viniliden klorür")</f>
        <v>Viniliden klorür</v>
      </c>
      <c r="E644" s="7" t="s">
        <v>2587</v>
      </c>
      <c r="F644" s="7" t="s">
        <v>2588</v>
      </c>
      <c r="G644" s="7">
        <v>2</v>
      </c>
    </row>
    <row r="645" spans="1:7" ht="12" customHeight="1" x14ac:dyDescent="0.2">
      <c r="A645" s="4">
        <v>644</v>
      </c>
      <c r="B645" s="5" t="s">
        <v>2589</v>
      </c>
      <c r="C645" s="6" t="s">
        <v>2590</v>
      </c>
      <c r="D645" s="12" t="str">
        <f ca="1">IFERROR(__xludf.DUMMYFUNCTION("GOOGLETRANSLATE(C:C, ""en"",""tr"")"),"Vinil neodanoat")</f>
        <v>Vinil neodanoat</v>
      </c>
      <c r="E645" s="7" t="s">
        <v>2591</v>
      </c>
      <c r="F645" s="7" t="s">
        <v>2592</v>
      </c>
      <c r="G645" s="7">
        <v>2</v>
      </c>
    </row>
    <row r="646" spans="1:7" ht="12" customHeight="1" x14ac:dyDescent="0.2">
      <c r="A646" s="4">
        <v>645</v>
      </c>
      <c r="B646" s="5" t="s">
        <v>2593</v>
      </c>
      <c r="C646" s="6" t="s">
        <v>2594</v>
      </c>
      <c r="D646" s="12" t="str">
        <f ca="1">IFERROR(__xludf.DUMMYFUNCTION("GOOGLETRANSLATE(C:C, ""en"",""tr"")"),"Viniltoluen")</f>
        <v>Viniltoluen</v>
      </c>
      <c r="E646" s="7" t="s">
        <v>2595</v>
      </c>
      <c r="F646" s="7" t="s">
        <v>2596</v>
      </c>
      <c r="G646" s="7">
        <v>2</v>
      </c>
    </row>
    <row r="647" spans="1:7" ht="12" customHeight="1" x14ac:dyDescent="0.2">
      <c r="A647" s="4">
        <v>646</v>
      </c>
      <c r="B647" s="5" t="s">
        <v>2597</v>
      </c>
      <c r="C647" s="6" t="s">
        <v>2598</v>
      </c>
      <c r="D647" s="12" t="str">
        <f ca="1">IFERROR(__xludf.DUMMYFUNCTION("GOOGLETRANSLATE(C:C, ""en"",""tr"")"),"Beyaz İspirto, Düşük (%15-20) Aromatik")</f>
        <v>Beyaz İspirto, Düşük (%15-20) Aromatik</v>
      </c>
      <c r="E647" s="7" t="s">
        <v>2599</v>
      </c>
      <c r="F647" s="7" t="s">
        <v>2600</v>
      </c>
      <c r="G647" s="7">
        <v>2</v>
      </c>
    </row>
    <row r="648" spans="1:7" ht="12" customHeight="1" x14ac:dyDescent="0.2">
      <c r="A648" s="4">
        <v>647</v>
      </c>
      <c r="B648" s="5" t="s">
        <v>2601</v>
      </c>
      <c r="C648" s="6" t="s">
        <v>2602</v>
      </c>
      <c r="D648" s="12" t="str">
        <f ca="1">IFERROR(__xludf.DUMMYFUNCTION("GOOGLETRANSLATE(C:C, ""en"",""tr"")"),"Ahşap Lignin ile Sodyum asetat / oksalat ")</f>
        <v xml:space="preserve">Ahşap Lignin ile Sodyum asetat / oksalat </v>
      </c>
      <c r="E648" s="7" t="s">
        <v>2603</v>
      </c>
      <c r="F648" s="7" t="s">
        <v>2604</v>
      </c>
      <c r="G648" s="7">
        <v>3</v>
      </c>
    </row>
    <row r="649" spans="1:7" ht="12" customHeight="1" x14ac:dyDescent="0.2">
      <c r="A649" s="4">
        <v>648</v>
      </c>
      <c r="B649" s="5" t="s">
        <v>2605</v>
      </c>
      <c r="C649" s="6" t="s">
        <v>2606</v>
      </c>
      <c r="D649" s="12" t="str">
        <f ca="1">IFERROR(__xludf.DUMMYFUNCTION("GOOGLETRANSLATE(C:C, ""en"",""tr"")"),"Ksilenler / etilbenzen (%10 veya daha fazla) karışım")</f>
        <v>Ksilenler / etilbenzen (%10 veya daha fazla) karışım</v>
      </c>
      <c r="E649" s="7" t="s">
        <v>2607</v>
      </c>
      <c r="F649" s="7" t="s">
        <v>2608</v>
      </c>
      <c r="G649" s="7">
        <v>2</v>
      </c>
    </row>
    <row r="650" spans="1:7" ht="12" customHeight="1" x14ac:dyDescent="0.2">
      <c r="A650" s="4">
        <v>649</v>
      </c>
      <c r="B650" s="5" t="s">
        <v>2609</v>
      </c>
      <c r="C650" s="6" t="s">
        <v>2610</v>
      </c>
      <c r="D650" s="12" t="str">
        <f ca="1">IFERROR(__xludf.DUMMYFUNCTION("GOOGLETRANSLATE(C:C, ""en"",""tr"")"),"Ksylenol")</f>
        <v>Ksylenol</v>
      </c>
      <c r="E650" s="7" t="s">
        <v>2611</v>
      </c>
      <c r="F650" s="7" t="s">
        <v>2612</v>
      </c>
      <c r="G650" s="7">
        <v>2</v>
      </c>
    </row>
    <row r="651" spans="1:7" ht="12" customHeight="1" x14ac:dyDescent="0.2">
      <c r="A651" s="4">
        <v>650</v>
      </c>
      <c r="B651" s="5" t="s">
        <v>2613</v>
      </c>
      <c r="C651" s="6" t="s">
        <v>2614</v>
      </c>
      <c r="D651" s="12" t="str">
        <f ca="1">IFERROR(__xludf.DUMMYFUNCTION("GOOGLETRANSLATE(C:C, ""en"",""tr"")"),"Çinko alkenil karboksamid")</f>
        <v>Çinko alkenil karboksamid</v>
      </c>
      <c r="E651" s="7" t="s">
        <v>2615</v>
      </c>
      <c r="F651" s="7" t="s">
        <v>2616</v>
      </c>
      <c r="G651" s="7">
        <v>2</v>
      </c>
    </row>
    <row r="652" spans="1:7" ht="12" customHeight="1" x14ac:dyDescent="0.2">
      <c r="A652" s="4"/>
      <c r="C652" s="8"/>
    </row>
    <row r="653" spans="1:7" ht="12" customHeight="1" x14ac:dyDescent="0.2">
      <c r="A653" s="4"/>
      <c r="C653" s="8"/>
    </row>
    <row r="654" spans="1:7" ht="12" customHeight="1" x14ac:dyDescent="0.2">
      <c r="A654" s="4"/>
      <c r="C654" s="8"/>
    </row>
    <row r="655" spans="1:7" ht="12" customHeight="1" x14ac:dyDescent="0.2">
      <c r="A655" s="4"/>
      <c r="C655" s="8"/>
    </row>
    <row r="656" spans="1:7" ht="12" customHeight="1" x14ac:dyDescent="0.2">
      <c r="A656" s="4"/>
      <c r="C656" s="8"/>
    </row>
    <row r="657" spans="1:3" ht="12" customHeight="1" x14ac:dyDescent="0.2">
      <c r="A657" s="4"/>
      <c r="C657" s="8"/>
    </row>
    <row r="658" spans="1:3" ht="12" customHeight="1" x14ac:dyDescent="0.2">
      <c r="A658" s="4"/>
      <c r="C658" s="8"/>
    </row>
    <row r="659" spans="1:3" ht="12" customHeight="1" x14ac:dyDescent="0.2">
      <c r="A659" s="4"/>
      <c r="C659" s="8"/>
    </row>
    <row r="660" spans="1:3" ht="12" customHeight="1" x14ac:dyDescent="0.2">
      <c r="A660" s="4"/>
      <c r="C660" s="8"/>
    </row>
    <row r="661" spans="1:3" ht="12" customHeight="1" x14ac:dyDescent="0.2">
      <c r="A661" s="4"/>
      <c r="C661" s="8"/>
    </row>
    <row r="662" spans="1:3" ht="12" customHeight="1" x14ac:dyDescent="0.2">
      <c r="A662" s="4"/>
      <c r="C662" s="8"/>
    </row>
    <row r="663" spans="1:3" ht="12" customHeight="1" x14ac:dyDescent="0.2">
      <c r="A663" s="4"/>
      <c r="C663" s="8"/>
    </row>
    <row r="664" spans="1:3" ht="12" customHeight="1" x14ac:dyDescent="0.2">
      <c r="A664" s="4"/>
      <c r="C664" s="8"/>
    </row>
    <row r="665" spans="1:3" ht="12" customHeight="1" x14ac:dyDescent="0.2">
      <c r="A665" s="4"/>
      <c r="C665" s="8"/>
    </row>
    <row r="666" spans="1:3" ht="12" customHeight="1" x14ac:dyDescent="0.2">
      <c r="A666" s="4"/>
      <c r="C666" s="8"/>
    </row>
    <row r="667" spans="1:3" ht="12" customHeight="1" x14ac:dyDescent="0.2">
      <c r="A667" s="4"/>
      <c r="C667" s="8"/>
    </row>
    <row r="668" spans="1:3" ht="12" customHeight="1" x14ac:dyDescent="0.2">
      <c r="A668" s="4"/>
      <c r="C668" s="8"/>
    </row>
    <row r="669" spans="1:3" ht="12" customHeight="1" x14ac:dyDescent="0.2">
      <c r="A669" s="4"/>
      <c r="C669" s="8"/>
    </row>
    <row r="670" spans="1:3" ht="12" customHeight="1" x14ac:dyDescent="0.2">
      <c r="A670" s="4"/>
      <c r="C670" s="8"/>
    </row>
    <row r="671" spans="1:3" ht="12" customHeight="1" x14ac:dyDescent="0.2">
      <c r="A671" s="4"/>
      <c r="C671" s="8"/>
    </row>
    <row r="672" spans="1:3" ht="12" customHeight="1" x14ac:dyDescent="0.2">
      <c r="A672" s="4"/>
      <c r="C672" s="8"/>
    </row>
    <row r="673" spans="1:3" ht="12" customHeight="1" x14ac:dyDescent="0.2">
      <c r="A673" s="4"/>
      <c r="C673" s="8"/>
    </row>
    <row r="674" spans="1:3" ht="12" customHeight="1" x14ac:dyDescent="0.2">
      <c r="A674" s="4"/>
      <c r="C674" s="8"/>
    </row>
    <row r="675" spans="1:3" ht="12" customHeight="1" x14ac:dyDescent="0.2">
      <c r="A675" s="4"/>
      <c r="C675" s="8"/>
    </row>
    <row r="676" spans="1:3" ht="12" customHeight="1" x14ac:dyDescent="0.2">
      <c r="A676" s="4"/>
      <c r="C676" s="8"/>
    </row>
    <row r="677" spans="1:3" ht="12" customHeight="1" x14ac:dyDescent="0.2">
      <c r="A677" s="4"/>
      <c r="C677" s="8"/>
    </row>
    <row r="678" spans="1:3" ht="12" customHeight="1" x14ac:dyDescent="0.2">
      <c r="A678" s="4"/>
      <c r="C678" s="8"/>
    </row>
    <row r="679" spans="1:3" ht="12" customHeight="1" x14ac:dyDescent="0.2">
      <c r="A679" s="4"/>
      <c r="C679" s="8"/>
    </row>
    <row r="680" spans="1:3" ht="12" customHeight="1" x14ac:dyDescent="0.2">
      <c r="A680" s="4"/>
      <c r="C680" s="8"/>
    </row>
    <row r="681" spans="1:3" ht="12" customHeight="1" x14ac:dyDescent="0.2">
      <c r="A681" s="4"/>
      <c r="C681" s="8"/>
    </row>
    <row r="682" spans="1:3" ht="12" customHeight="1" x14ac:dyDescent="0.2">
      <c r="A682" s="4"/>
      <c r="C682" s="8"/>
    </row>
    <row r="683" spans="1:3" ht="12" customHeight="1" x14ac:dyDescent="0.2">
      <c r="A683" s="4"/>
      <c r="C683" s="8"/>
    </row>
    <row r="684" spans="1:3" ht="12" customHeight="1" x14ac:dyDescent="0.2">
      <c r="A684" s="4"/>
      <c r="C684" s="8"/>
    </row>
    <row r="685" spans="1:3" ht="12" customHeight="1" x14ac:dyDescent="0.2">
      <c r="A685" s="4"/>
      <c r="C685" s="8"/>
    </row>
    <row r="686" spans="1:3" ht="12" customHeight="1" x14ac:dyDescent="0.2">
      <c r="A686" s="4"/>
      <c r="C686" s="8"/>
    </row>
    <row r="687" spans="1:3" ht="12" customHeight="1" x14ac:dyDescent="0.2">
      <c r="A687" s="4"/>
      <c r="C687" s="8"/>
    </row>
    <row r="688" spans="1:3" ht="12" customHeight="1" x14ac:dyDescent="0.2">
      <c r="A688" s="4"/>
      <c r="C688" s="8"/>
    </row>
    <row r="689" spans="1:3" ht="12" customHeight="1" x14ac:dyDescent="0.2">
      <c r="A689" s="4"/>
      <c r="C689" s="8"/>
    </row>
    <row r="690" spans="1:3" ht="12" customHeight="1" x14ac:dyDescent="0.2">
      <c r="A690" s="4"/>
      <c r="C690" s="8"/>
    </row>
    <row r="691" spans="1:3" ht="12" customHeight="1" x14ac:dyDescent="0.2">
      <c r="A691" s="4"/>
      <c r="C691" s="8"/>
    </row>
    <row r="692" spans="1:3" ht="12" customHeight="1" x14ac:dyDescent="0.2">
      <c r="A692" s="4"/>
      <c r="C692" s="8"/>
    </row>
    <row r="693" spans="1:3" ht="12" customHeight="1" x14ac:dyDescent="0.2">
      <c r="A693" s="4"/>
      <c r="C693" s="8"/>
    </row>
    <row r="694" spans="1:3" ht="12" customHeight="1" x14ac:dyDescent="0.2">
      <c r="A694" s="4"/>
      <c r="C694" s="8"/>
    </row>
    <row r="695" spans="1:3" ht="12" customHeight="1" x14ac:dyDescent="0.2">
      <c r="A695" s="4"/>
      <c r="C695" s="8"/>
    </row>
    <row r="696" spans="1:3" ht="12" customHeight="1" x14ac:dyDescent="0.2">
      <c r="A696" s="4"/>
      <c r="C696" s="8"/>
    </row>
    <row r="697" spans="1:3" ht="12" customHeight="1" x14ac:dyDescent="0.2">
      <c r="A697" s="4"/>
      <c r="C697" s="8"/>
    </row>
    <row r="698" spans="1:3" ht="12" customHeight="1" x14ac:dyDescent="0.2">
      <c r="A698" s="4"/>
      <c r="C698" s="8"/>
    </row>
    <row r="699" spans="1:3" ht="12" customHeight="1" x14ac:dyDescent="0.2">
      <c r="A699" s="4"/>
      <c r="C699" s="8"/>
    </row>
    <row r="700" spans="1:3" ht="12" customHeight="1" x14ac:dyDescent="0.2">
      <c r="A700" s="4"/>
      <c r="C700" s="8"/>
    </row>
    <row r="701" spans="1:3" ht="12" customHeight="1" x14ac:dyDescent="0.2">
      <c r="A701" s="4"/>
      <c r="C701" s="8"/>
    </row>
    <row r="702" spans="1:3" ht="12" customHeight="1" x14ac:dyDescent="0.2">
      <c r="A702" s="4"/>
      <c r="C702" s="8"/>
    </row>
    <row r="703" spans="1:3" ht="12" customHeight="1" x14ac:dyDescent="0.2">
      <c r="A703" s="4"/>
      <c r="C703" s="8"/>
    </row>
    <row r="704" spans="1:3" ht="12" customHeight="1" x14ac:dyDescent="0.2">
      <c r="A704" s="4"/>
      <c r="C704" s="8"/>
    </row>
    <row r="705" spans="1:3" ht="12" customHeight="1" x14ac:dyDescent="0.2">
      <c r="A705" s="4"/>
      <c r="C705" s="8"/>
    </row>
    <row r="706" spans="1:3" ht="12" customHeight="1" x14ac:dyDescent="0.2">
      <c r="A706" s="4"/>
      <c r="C706" s="8"/>
    </row>
    <row r="707" spans="1:3" ht="12" customHeight="1" x14ac:dyDescent="0.2">
      <c r="A707" s="4"/>
      <c r="C707" s="8"/>
    </row>
    <row r="708" spans="1:3" ht="12" customHeight="1" x14ac:dyDescent="0.2">
      <c r="A708" s="4"/>
      <c r="C708" s="8"/>
    </row>
    <row r="709" spans="1:3" ht="12" customHeight="1" x14ac:dyDescent="0.2">
      <c r="A709" s="4"/>
      <c r="C709" s="8"/>
    </row>
    <row r="710" spans="1:3" ht="12" customHeight="1" x14ac:dyDescent="0.2">
      <c r="A710" s="4"/>
      <c r="C710" s="8"/>
    </row>
    <row r="711" spans="1:3" ht="12" customHeight="1" x14ac:dyDescent="0.2">
      <c r="A711" s="4"/>
      <c r="C711" s="8"/>
    </row>
    <row r="712" spans="1:3" ht="12" customHeight="1" x14ac:dyDescent="0.2">
      <c r="A712" s="4"/>
      <c r="C712" s="8"/>
    </row>
    <row r="713" spans="1:3" ht="12" customHeight="1" x14ac:dyDescent="0.2">
      <c r="A713" s="4"/>
      <c r="C713" s="8"/>
    </row>
    <row r="714" spans="1:3" ht="12" customHeight="1" x14ac:dyDescent="0.2">
      <c r="A714" s="4"/>
      <c r="C714" s="8"/>
    </row>
    <row r="715" spans="1:3" ht="12" customHeight="1" x14ac:dyDescent="0.2">
      <c r="A715" s="4"/>
      <c r="C715" s="8"/>
    </row>
    <row r="716" spans="1:3" ht="12" customHeight="1" x14ac:dyDescent="0.2">
      <c r="A716" s="4"/>
      <c r="C716" s="8"/>
    </row>
    <row r="717" spans="1:3" ht="12" customHeight="1" x14ac:dyDescent="0.2">
      <c r="A717" s="4"/>
      <c r="C717" s="8"/>
    </row>
    <row r="718" spans="1:3" ht="12" customHeight="1" x14ac:dyDescent="0.2">
      <c r="A718" s="4"/>
      <c r="C718" s="8"/>
    </row>
    <row r="719" spans="1:3" ht="12" customHeight="1" x14ac:dyDescent="0.2">
      <c r="A719" s="4"/>
      <c r="C719" s="8"/>
    </row>
    <row r="720" spans="1:3" ht="12" customHeight="1" x14ac:dyDescent="0.2">
      <c r="A720" s="4"/>
      <c r="C720" s="8"/>
    </row>
    <row r="721" spans="1:3" ht="12" customHeight="1" x14ac:dyDescent="0.2">
      <c r="A721" s="4"/>
      <c r="C721" s="8"/>
    </row>
    <row r="722" spans="1:3" ht="12" customHeight="1" x14ac:dyDescent="0.2">
      <c r="A722" s="4"/>
      <c r="C722" s="8"/>
    </row>
    <row r="723" spans="1:3" ht="12" customHeight="1" x14ac:dyDescent="0.2">
      <c r="A723" s="4"/>
      <c r="C723" s="8"/>
    </row>
    <row r="724" spans="1:3" ht="12" customHeight="1" x14ac:dyDescent="0.2">
      <c r="A724" s="4"/>
      <c r="C724" s="8"/>
    </row>
    <row r="725" spans="1:3" ht="12" customHeight="1" x14ac:dyDescent="0.2">
      <c r="A725" s="4"/>
      <c r="C725" s="8"/>
    </row>
    <row r="726" spans="1:3" ht="12" customHeight="1" x14ac:dyDescent="0.2">
      <c r="A726" s="4"/>
      <c r="C726" s="8"/>
    </row>
    <row r="727" spans="1:3" ht="12" customHeight="1" x14ac:dyDescent="0.2">
      <c r="A727" s="4"/>
      <c r="C727" s="8"/>
    </row>
    <row r="728" spans="1:3" ht="12" customHeight="1" x14ac:dyDescent="0.2">
      <c r="A728" s="4"/>
      <c r="C728" s="8"/>
    </row>
    <row r="729" spans="1:3" ht="12" customHeight="1" x14ac:dyDescent="0.2">
      <c r="A729" s="4"/>
      <c r="C729" s="8"/>
    </row>
    <row r="730" spans="1:3" ht="12" customHeight="1" x14ac:dyDescent="0.2">
      <c r="A730" s="4"/>
      <c r="C730" s="8"/>
    </row>
    <row r="731" spans="1:3" ht="12" customHeight="1" x14ac:dyDescent="0.2">
      <c r="A731" s="4"/>
      <c r="C731" s="8"/>
    </row>
    <row r="732" spans="1:3" ht="12" customHeight="1" x14ac:dyDescent="0.2">
      <c r="A732" s="4"/>
      <c r="C732" s="8"/>
    </row>
    <row r="733" spans="1:3" ht="12" customHeight="1" x14ac:dyDescent="0.2">
      <c r="A733" s="4"/>
      <c r="C733" s="8"/>
    </row>
    <row r="734" spans="1:3" ht="12" customHeight="1" x14ac:dyDescent="0.2">
      <c r="A734" s="4"/>
      <c r="C734" s="8"/>
    </row>
    <row r="735" spans="1:3" ht="12" customHeight="1" x14ac:dyDescent="0.2">
      <c r="A735" s="4"/>
      <c r="C735" s="8"/>
    </row>
    <row r="736" spans="1:3" ht="12" customHeight="1" x14ac:dyDescent="0.2">
      <c r="A736" s="4"/>
      <c r="C736" s="8"/>
    </row>
    <row r="737" spans="1:3" ht="12" customHeight="1" x14ac:dyDescent="0.2">
      <c r="A737" s="4"/>
      <c r="C737" s="8"/>
    </row>
    <row r="738" spans="1:3" ht="12" customHeight="1" x14ac:dyDescent="0.2">
      <c r="A738" s="4"/>
      <c r="C738" s="8"/>
    </row>
    <row r="739" spans="1:3" ht="12" customHeight="1" x14ac:dyDescent="0.2">
      <c r="A739" s="4"/>
      <c r="C739" s="8"/>
    </row>
    <row r="740" spans="1:3" ht="12" customHeight="1" x14ac:dyDescent="0.2">
      <c r="A740" s="4"/>
      <c r="C740" s="8"/>
    </row>
    <row r="741" spans="1:3" ht="12" customHeight="1" x14ac:dyDescent="0.2">
      <c r="A741" s="4"/>
      <c r="C741" s="8"/>
    </row>
    <row r="742" spans="1:3" ht="12" customHeight="1" x14ac:dyDescent="0.2">
      <c r="A742" s="4"/>
      <c r="C742" s="8"/>
    </row>
    <row r="743" spans="1:3" ht="12" customHeight="1" x14ac:dyDescent="0.2">
      <c r="A743" s="4"/>
      <c r="C743" s="8"/>
    </row>
    <row r="744" spans="1:3" ht="12" customHeight="1" x14ac:dyDescent="0.2">
      <c r="A744" s="4"/>
      <c r="C744" s="8"/>
    </row>
    <row r="745" spans="1:3" ht="12" customHeight="1" x14ac:dyDescent="0.2">
      <c r="A745" s="4"/>
      <c r="C745" s="8"/>
    </row>
    <row r="746" spans="1:3" ht="12" customHeight="1" x14ac:dyDescent="0.2">
      <c r="A746" s="4"/>
      <c r="C746" s="8"/>
    </row>
    <row r="747" spans="1:3" ht="12" customHeight="1" x14ac:dyDescent="0.2">
      <c r="A747" s="4"/>
      <c r="C747" s="8"/>
    </row>
    <row r="748" spans="1:3" ht="12" customHeight="1" x14ac:dyDescent="0.2">
      <c r="A748" s="4"/>
      <c r="C748" s="8"/>
    </row>
    <row r="749" spans="1:3" ht="12" customHeight="1" x14ac:dyDescent="0.2">
      <c r="A749" s="4"/>
      <c r="C749" s="8"/>
    </row>
    <row r="750" spans="1:3" ht="12" customHeight="1" x14ac:dyDescent="0.2">
      <c r="A750" s="4"/>
      <c r="C750" s="8"/>
    </row>
    <row r="751" spans="1:3" ht="12" customHeight="1" x14ac:dyDescent="0.2">
      <c r="A751" s="4"/>
      <c r="C751" s="8"/>
    </row>
    <row r="752" spans="1:3" ht="12" customHeight="1" x14ac:dyDescent="0.2">
      <c r="A752" s="4"/>
      <c r="C752" s="8"/>
    </row>
    <row r="753" spans="1:3" ht="12" customHeight="1" x14ac:dyDescent="0.2">
      <c r="A753" s="4"/>
      <c r="C753" s="8"/>
    </row>
    <row r="754" spans="1:3" ht="12" customHeight="1" x14ac:dyDescent="0.2">
      <c r="A754" s="4"/>
      <c r="C754" s="8"/>
    </row>
    <row r="755" spans="1:3" ht="12" customHeight="1" x14ac:dyDescent="0.2">
      <c r="A755" s="4"/>
      <c r="C755" s="8"/>
    </row>
    <row r="756" spans="1:3" ht="12" customHeight="1" x14ac:dyDescent="0.2">
      <c r="A756" s="4"/>
      <c r="C756" s="8"/>
    </row>
    <row r="757" spans="1:3" ht="12" customHeight="1" x14ac:dyDescent="0.2">
      <c r="A757" s="4"/>
      <c r="C757" s="8"/>
    </row>
    <row r="758" spans="1:3" ht="12" customHeight="1" x14ac:dyDescent="0.2">
      <c r="A758" s="4"/>
      <c r="C758" s="8"/>
    </row>
    <row r="759" spans="1:3" ht="12" customHeight="1" x14ac:dyDescent="0.2">
      <c r="A759" s="4"/>
      <c r="C759" s="8"/>
    </row>
    <row r="760" spans="1:3" ht="12" customHeight="1" x14ac:dyDescent="0.2">
      <c r="A760" s="4"/>
      <c r="C760" s="8"/>
    </row>
    <row r="761" spans="1:3" ht="12" customHeight="1" x14ac:dyDescent="0.2">
      <c r="A761" s="4"/>
      <c r="C761" s="8"/>
    </row>
    <row r="762" spans="1:3" ht="12" customHeight="1" x14ac:dyDescent="0.2">
      <c r="A762" s="4"/>
      <c r="C762" s="8"/>
    </row>
    <row r="763" spans="1:3" ht="12" customHeight="1" x14ac:dyDescent="0.2">
      <c r="A763" s="4"/>
      <c r="C763" s="8"/>
    </row>
    <row r="764" spans="1:3" ht="12" customHeight="1" x14ac:dyDescent="0.2">
      <c r="A764" s="4"/>
      <c r="C764" s="8"/>
    </row>
    <row r="765" spans="1:3" ht="12" customHeight="1" x14ac:dyDescent="0.2">
      <c r="A765" s="4"/>
      <c r="C765" s="8"/>
    </row>
    <row r="766" spans="1:3" ht="12" customHeight="1" x14ac:dyDescent="0.2">
      <c r="A766" s="4"/>
      <c r="C766" s="8"/>
    </row>
    <row r="767" spans="1:3" ht="12" customHeight="1" x14ac:dyDescent="0.2">
      <c r="A767" s="4"/>
      <c r="C767" s="8"/>
    </row>
    <row r="768" spans="1:3" ht="12" customHeight="1" x14ac:dyDescent="0.2">
      <c r="A768" s="4"/>
      <c r="C768" s="8"/>
    </row>
    <row r="769" spans="1:3" ht="12" customHeight="1" x14ac:dyDescent="0.2">
      <c r="A769" s="4"/>
      <c r="C769" s="8"/>
    </row>
    <row r="770" spans="1:3" ht="12" customHeight="1" x14ac:dyDescent="0.2">
      <c r="A770" s="4"/>
      <c r="C770" s="8"/>
    </row>
    <row r="771" spans="1:3" ht="12" customHeight="1" x14ac:dyDescent="0.2">
      <c r="A771" s="4"/>
      <c r="C771" s="8"/>
    </row>
    <row r="772" spans="1:3" ht="12" customHeight="1" x14ac:dyDescent="0.2">
      <c r="A772" s="4"/>
      <c r="C772" s="8"/>
    </row>
    <row r="773" spans="1:3" ht="12" customHeight="1" x14ac:dyDescent="0.2">
      <c r="A773" s="4"/>
      <c r="C773" s="8"/>
    </row>
    <row r="774" spans="1:3" ht="12" customHeight="1" x14ac:dyDescent="0.2">
      <c r="A774" s="4"/>
      <c r="C774" s="8"/>
    </row>
    <row r="775" spans="1:3" ht="12" customHeight="1" x14ac:dyDescent="0.2">
      <c r="A775" s="4"/>
      <c r="C775" s="8"/>
    </row>
    <row r="776" spans="1:3" ht="12" customHeight="1" x14ac:dyDescent="0.2">
      <c r="A776" s="4"/>
      <c r="C776" s="8"/>
    </row>
    <row r="777" spans="1:3" ht="12" customHeight="1" x14ac:dyDescent="0.2">
      <c r="A777" s="4"/>
      <c r="C777" s="8"/>
    </row>
    <row r="778" spans="1:3" ht="12" customHeight="1" x14ac:dyDescent="0.2">
      <c r="A778" s="4"/>
      <c r="C778" s="8"/>
    </row>
    <row r="779" spans="1:3" ht="12" customHeight="1" x14ac:dyDescent="0.2">
      <c r="A779" s="4"/>
      <c r="C779" s="8"/>
    </row>
    <row r="780" spans="1:3" ht="12" customHeight="1" x14ac:dyDescent="0.2">
      <c r="A780" s="4"/>
      <c r="C780" s="8"/>
    </row>
    <row r="781" spans="1:3" ht="12" customHeight="1" x14ac:dyDescent="0.2">
      <c r="A781" s="4"/>
      <c r="C781" s="8"/>
    </row>
    <row r="782" spans="1:3" ht="12" customHeight="1" x14ac:dyDescent="0.2">
      <c r="A782" s="4"/>
      <c r="C782" s="8"/>
    </row>
    <row r="783" spans="1:3" ht="12" customHeight="1" x14ac:dyDescent="0.2">
      <c r="A783" s="4"/>
      <c r="C783" s="8"/>
    </row>
    <row r="784" spans="1:3" ht="12" customHeight="1" x14ac:dyDescent="0.2">
      <c r="A784" s="4"/>
      <c r="C784" s="8"/>
    </row>
    <row r="785" spans="1:3" ht="12" customHeight="1" x14ac:dyDescent="0.2">
      <c r="A785" s="4"/>
      <c r="C785" s="8"/>
    </row>
    <row r="786" spans="1:3" ht="12" customHeight="1" x14ac:dyDescent="0.2">
      <c r="A786" s="4"/>
      <c r="C786" s="8"/>
    </row>
    <row r="787" spans="1:3" ht="12" customHeight="1" x14ac:dyDescent="0.2">
      <c r="A787" s="4"/>
      <c r="C787" s="8"/>
    </row>
    <row r="788" spans="1:3" ht="12" customHeight="1" x14ac:dyDescent="0.2">
      <c r="A788" s="4"/>
      <c r="C788" s="8"/>
    </row>
    <row r="789" spans="1:3" ht="12" customHeight="1" x14ac:dyDescent="0.2">
      <c r="A789" s="4"/>
      <c r="C789" s="8"/>
    </row>
    <row r="790" spans="1:3" ht="12" customHeight="1" x14ac:dyDescent="0.2">
      <c r="A790" s="4"/>
      <c r="C790" s="8"/>
    </row>
    <row r="791" spans="1:3" ht="12" customHeight="1" x14ac:dyDescent="0.2">
      <c r="A791" s="4"/>
      <c r="C791" s="8"/>
    </row>
    <row r="792" spans="1:3" ht="12" customHeight="1" x14ac:dyDescent="0.2">
      <c r="A792" s="4"/>
      <c r="C792" s="8"/>
    </row>
    <row r="793" spans="1:3" ht="12" customHeight="1" x14ac:dyDescent="0.2">
      <c r="A793" s="4"/>
      <c r="C793" s="8"/>
    </row>
    <row r="794" spans="1:3" ht="12" customHeight="1" x14ac:dyDescent="0.2">
      <c r="A794" s="4"/>
      <c r="C794" s="8"/>
    </row>
    <row r="795" spans="1:3" ht="12" customHeight="1" x14ac:dyDescent="0.2">
      <c r="A795" s="4"/>
      <c r="C795" s="8"/>
    </row>
    <row r="796" spans="1:3" ht="12" customHeight="1" x14ac:dyDescent="0.2">
      <c r="A796" s="4"/>
      <c r="C796" s="8"/>
    </row>
    <row r="797" spans="1:3" ht="12" customHeight="1" x14ac:dyDescent="0.2">
      <c r="A797" s="4"/>
      <c r="C797" s="8"/>
    </row>
    <row r="798" spans="1:3" ht="12" customHeight="1" x14ac:dyDescent="0.2">
      <c r="A798" s="4"/>
      <c r="C798" s="8"/>
    </row>
    <row r="799" spans="1:3" ht="12" customHeight="1" x14ac:dyDescent="0.2">
      <c r="A799" s="4"/>
      <c r="C799" s="8"/>
    </row>
    <row r="800" spans="1:3" ht="12" customHeight="1" x14ac:dyDescent="0.2">
      <c r="A800" s="4"/>
      <c r="C800" s="8"/>
    </row>
    <row r="801" spans="1:3" ht="12" customHeight="1" x14ac:dyDescent="0.2">
      <c r="A801" s="4"/>
      <c r="C801" s="8"/>
    </row>
    <row r="802" spans="1:3" ht="12" customHeight="1" x14ac:dyDescent="0.2">
      <c r="A802" s="4"/>
      <c r="C802" s="8"/>
    </row>
    <row r="803" spans="1:3" ht="12" customHeight="1" x14ac:dyDescent="0.2">
      <c r="A803" s="4"/>
      <c r="C803" s="8"/>
    </row>
    <row r="804" spans="1:3" ht="12" customHeight="1" x14ac:dyDescent="0.2">
      <c r="A804" s="4"/>
      <c r="C804" s="8"/>
    </row>
    <row r="805" spans="1:3" ht="12" customHeight="1" x14ac:dyDescent="0.2">
      <c r="A805" s="4"/>
      <c r="C805" s="8"/>
    </row>
    <row r="806" spans="1:3" ht="12" customHeight="1" x14ac:dyDescent="0.2">
      <c r="A806" s="4"/>
      <c r="C806" s="8"/>
    </row>
    <row r="807" spans="1:3" ht="12" customHeight="1" x14ac:dyDescent="0.2">
      <c r="A807" s="4"/>
      <c r="C807" s="8"/>
    </row>
    <row r="808" spans="1:3" ht="12" customHeight="1" x14ac:dyDescent="0.2">
      <c r="A808" s="4"/>
      <c r="C808" s="8"/>
    </row>
    <row r="809" spans="1:3" ht="12" customHeight="1" x14ac:dyDescent="0.2">
      <c r="A809" s="4"/>
      <c r="C809" s="8"/>
    </row>
    <row r="810" spans="1:3" ht="12" customHeight="1" x14ac:dyDescent="0.2">
      <c r="A810" s="4"/>
      <c r="C810" s="8"/>
    </row>
    <row r="811" spans="1:3" ht="12" customHeight="1" x14ac:dyDescent="0.2">
      <c r="A811" s="4"/>
      <c r="C811" s="8"/>
    </row>
    <row r="812" spans="1:3" ht="12" customHeight="1" x14ac:dyDescent="0.2">
      <c r="A812" s="4"/>
      <c r="C812" s="8"/>
    </row>
    <row r="813" spans="1:3" ht="12" customHeight="1" x14ac:dyDescent="0.2">
      <c r="A813" s="4"/>
      <c r="C813" s="8"/>
    </row>
    <row r="814" spans="1:3" ht="12" customHeight="1" x14ac:dyDescent="0.2">
      <c r="A814" s="4"/>
      <c r="C814" s="8"/>
    </row>
    <row r="815" spans="1:3" ht="12" customHeight="1" x14ac:dyDescent="0.2">
      <c r="A815" s="4"/>
      <c r="C815" s="8"/>
    </row>
    <row r="816" spans="1:3" ht="12" customHeight="1" x14ac:dyDescent="0.2">
      <c r="A816" s="4"/>
      <c r="C816" s="8"/>
    </row>
    <row r="817" spans="1:3" ht="12" customHeight="1" x14ac:dyDescent="0.2">
      <c r="A817" s="4"/>
      <c r="C817" s="8"/>
    </row>
    <row r="818" spans="1:3" ht="12" customHeight="1" x14ac:dyDescent="0.2">
      <c r="A818" s="4"/>
      <c r="C818" s="8"/>
    </row>
    <row r="819" spans="1:3" ht="12" customHeight="1" x14ac:dyDescent="0.2">
      <c r="A819" s="4"/>
      <c r="C819" s="8"/>
    </row>
    <row r="820" spans="1:3" ht="12" customHeight="1" x14ac:dyDescent="0.2">
      <c r="A820" s="4"/>
      <c r="C820" s="8"/>
    </row>
    <row r="821" spans="1:3" ht="12" customHeight="1" x14ac:dyDescent="0.2">
      <c r="A821" s="4"/>
      <c r="C821" s="8"/>
    </row>
    <row r="822" spans="1:3" ht="12" customHeight="1" x14ac:dyDescent="0.2">
      <c r="A822" s="4"/>
      <c r="C822" s="8"/>
    </row>
    <row r="823" spans="1:3" ht="12" customHeight="1" x14ac:dyDescent="0.2">
      <c r="A823" s="4"/>
      <c r="C823" s="8"/>
    </row>
    <row r="824" spans="1:3" ht="12" customHeight="1" x14ac:dyDescent="0.2">
      <c r="A824" s="4"/>
      <c r="C824" s="8"/>
    </row>
    <row r="825" spans="1:3" ht="12" customHeight="1" x14ac:dyDescent="0.2">
      <c r="A825" s="4"/>
      <c r="C825" s="8"/>
    </row>
    <row r="826" spans="1:3" ht="12" customHeight="1" x14ac:dyDescent="0.2">
      <c r="A826" s="4"/>
      <c r="C826" s="8"/>
    </row>
    <row r="827" spans="1:3" ht="12" customHeight="1" x14ac:dyDescent="0.2">
      <c r="A827" s="4"/>
      <c r="C827" s="8"/>
    </row>
    <row r="828" spans="1:3" ht="12" customHeight="1" x14ac:dyDescent="0.2">
      <c r="A828" s="4"/>
      <c r="C828" s="8"/>
    </row>
    <row r="829" spans="1:3" ht="12" customHeight="1" x14ac:dyDescent="0.2">
      <c r="A829" s="4"/>
      <c r="C829" s="8"/>
    </row>
    <row r="830" spans="1:3" ht="12" customHeight="1" x14ac:dyDescent="0.2">
      <c r="A830" s="4"/>
      <c r="C830" s="8"/>
    </row>
    <row r="831" spans="1:3" ht="12" customHeight="1" x14ac:dyDescent="0.2">
      <c r="A831" s="4"/>
      <c r="C831" s="8"/>
    </row>
    <row r="832" spans="1:3" ht="12" customHeight="1" x14ac:dyDescent="0.2">
      <c r="A832" s="4"/>
      <c r="C832" s="8"/>
    </row>
    <row r="833" spans="1:3" ht="12" customHeight="1" x14ac:dyDescent="0.2">
      <c r="A833" s="4"/>
      <c r="C833" s="8"/>
    </row>
    <row r="834" spans="1:3" ht="12" customHeight="1" x14ac:dyDescent="0.2">
      <c r="A834" s="4"/>
      <c r="C834" s="8"/>
    </row>
    <row r="835" spans="1:3" ht="12" customHeight="1" x14ac:dyDescent="0.2">
      <c r="A835" s="4"/>
      <c r="C835" s="8"/>
    </row>
    <row r="836" spans="1:3" ht="12" customHeight="1" x14ac:dyDescent="0.2">
      <c r="A836" s="4"/>
      <c r="C836" s="8"/>
    </row>
    <row r="837" spans="1:3" ht="12" customHeight="1" x14ac:dyDescent="0.2">
      <c r="A837" s="4"/>
      <c r="C837" s="8"/>
    </row>
    <row r="838" spans="1:3" ht="12" customHeight="1" x14ac:dyDescent="0.2">
      <c r="A838" s="4"/>
      <c r="C838" s="8"/>
    </row>
    <row r="839" spans="1:3" ht="12" customHeight="1" x14ac:dyDescent="0.2">
      <c r="A839" s="4"/>
      <c r="C839" s="8"/>
    </row>
    <row r="840" spans="1:3" ht="12" customHeight="1" x14ac:dyDescent="0.2">
      <c r="A840" s="4"/>
      <c r="C840" s="8"/>
    </row>
    <row r="841" spans="1:3" ht="12" customHeight="1" x14ac:dyDescent="0.2">
      <c r="A841" s="4"/>
      <c r="C841" s="8"/>
    </row>
    <row r="842" spans="1:3" ht="12" customHeight="1" x14ac:dyDescent="0.2">
      <c r="A842" s="4"/>
      <c r="C842" s="8"/>
    </row>
    <row r="843" spans="1:3" ht="12" customHeight="1" x14ac:dyDescent="0.2">
      <c r="A843" s="4"/>
      <c r="C843" s="8"/>
    </row>
    <row r="844" spans="1:3" ht="12" customHeight="1" x14ac:dyDescent="0.2">
      <c r="A844" s="4"/>
      <c r="C844" s="8"/>
    </row>
    <row r="845" spans="1:3" ht="12" customHeight="1" x14ac:dyDescent="0.2">
      <c r="A845" s="4"/>
      <c r="C845" s="8"/>
    </row>
    <row r="846" spans="1:3" ht="12" customHeight="1" x14ac:dyDescent="0.2">
      <c r="A846" s="4"/>
      <c r="C846" s="8"/>
    </row>
    <row r="847" spans="1:3" ht="12" customHeight="1" x14ac:dyDescent="0.2">
      <c r="A847" s="4"/>
      <c r="C847" s="8"/>
    </row>
    <row r="848" spans="1:3" ht="12" customHeight="1" x14ac:dyDescent="0.2">
      <c r="A848" s="4"/>
      <c r="C848" s="8"/>
    </row>
    <row r="849" spans="1:3" ht="12" customHeight="1" x14ac:dyDescent="0.2">
      <c r="A849" s="4"/>
      <c r="C849" s="8"/>
    </row>
    <row r="850" spans="1:3" ht="12" customHeight="1" x14ac:dyDescent="0.2">
      <c r="A850" s="4"/>
      <c r="C850" s="8"/>
    </row>
    <row r="851" spans="1:3" ht="12" customHeight="1" x14ac:dyDescent="0.2">
      <c r="A851" s="4"/>
      <c r="C851" s="8"/>
    </row>
    <row r="852" spans="1:3" ht="12" customHeight="1" x14ac:dyDescent="0.2">
      <c r="A852" s="4"/>
      <c r="C852" s="8"/>
    </row>
    <row r="853" spans="1:3" ht="12" customHeight="1" x14ac:dyDescent="0.2">
      <c r="A853" s="4"/>
      <c r="C853" s="8"/>
    </row>
    <row r="854" spans="1:3" ht="12" customHeight="1" x14ac:dyDescent="0.2">
      <c r="A854" s="4"/>
      <c r="C854" s="8"/>
    </row>
    <row r="855" spans="1:3" ht="12" customHeight="1" x14ac:dyDescent="0.2">
      <c r="A855" s="4"/>
      <c r="C855" s="8"/>
    </row>
    <row r="856" spans="1:3" ht="12" customHeight="1" x14ac:dyDescent="0.2">
      <c r="A856" s="4"/>
      <c r="C856" s="8"/>
    </row>
    <row r="857" spans="1:3" ht="12" customHeight="1" x14ac:dyDescent="0.2">
      <c r="A857" s="4"/>
      <c r="C857" s="8"/>
    </row>
    <row r="858" spans="1:3" ht="12" customHeight="1" x14ac:dyDescent="0.2">
      <c r="A858" s="4"/>
      <c r="C858" s="8"/>
    </row>
    <row r="859" spans="1:3" ht="12" customHeight="1" x14ac:dyDescent="0.2">
      <c r="A859" s="4"/>
      <c r="C859" s="8"/>
    </row>
    <row r="860" spans="1:3" ht="12" customHeight="1" x14ac:dyDescent="0.2">
      <c r="A860" s="4"/>
      <c r="C860" s="8"/>
    </row>
    <row r="861" spans="1:3" ht="12" customHeight="1" x14ac:dyDescent="0.2">
      <c r="A861" s="4"/>
      <c r="C861" s="8"/>
    </row>
    <row r="862" spans="1:3" ht="12" customHeight="1" x14ac:dyDescent="0.2">
      <c r="A862" s="4"/>
      <c r="C862" s="8"/>
    </row>
    <row r="863" spans="1:3" ht="12" customHeight="1" x14ac:dyDescent="0.2">
      <c r="A863" s="4"/>
      <c r="C863" s="8"/>
    </row>
    <row r="864" spans="1:3" ht="12" customHeight="1" x14ac:dyDescent="0.2">
      <c r="A864" s="4"/>
      <c r="C864" s="8"/>
    </row>
    <row r="865" spans="1:3" ht="12" customHeight="1" x14ac:dyDescent="0.2">
      <c r="A865" s="4"/>
      <c r="C865" s="8"/>
    </row>
    <row r="866" spans="1:3" ht="12" customHeight="1" x14ac:dyDescent="0.2">
      <c r="A866" s="4"/>
      <c r="C866" s="8"/>
    </row>
    <row r="867" spans="1:3" ht="12" customHeight="1" x14ac:dyDescent="0.2">
      <c r="A867" s="4"/>
      <c r="C867" s="8"/>
    </row>
    <row r="868" spans="1:3" ht="12" customHeight="1" x14ac:dyDescent="0.2">
      <c r="A868" s="4"/>
      <c r="C868" s="8"/>
    </row>
    <row r="869" spans="1:3" ht="12" customHeight="1" x14ac:dyDescent="0.2">
      <c r="A869" s="4"/>
      <c r="C869" s="8"/>
    </row>
    <row r="870" spans="1:3" ht="12" customHeight="1" x14ac:dyDescent="0.2">
      <c r="A870" s="4"/>
      <c r="C870" s="8"/>
    </row>
    <row r="871" spans="1:3" ht="12" customHeight="1" x14ac:dyDescent="0.2">
      <c r="A871" s="4"/>
      <c r="C871" s="8"/>
    </row>
    <row r="872" spans="1:3" ht="12" customHeight="1" x14ac:dyDescent="0.2">
      <c r="A872" s="4"/>
      <c r="C872" s="8"/>
    </row>
    <row r="873" spans="1:3" ht="12" customHeight="1" x14ac:dyDescent="0.2">
      <c r="A873" s="4"/>
      <c r="C873" s="8"/>
    </row>
    <row r="874" spans="1:3" ht="12" customHeight="1" x14ac:dyDescent="0.2">
      <c r="A874" s="4"/>
      <c r="C874" s="8"/>
    </row>
    <row r="875" spans="1:3" ht="12" customHeight="1" x14ac:dyDescent="0.2">
      <c r="A875" s="4"/>
      <c r="C875" s="8"/>
    </row>
    <row r="876" spans="1:3" ht="12" customHeight="1" x14ac:dyDescent="0.2">
      <c r="A876" s="4"/>
      <c r="C876" s="8"/>
    </row>
    <row r="877" spans="1:3" ht="12" customHeight="1" x14ac:dyDescent="0.2">
      <c r="A877" s="4"/>
      <c r="C877" s="8"/>
    </row>
    <row r="878" spans="1:3" ht="12" customHeight="1" x14ac:dyDescent="0.2">
      <c r="A878" s="4"/>
      <c r="C878" s="8"/>
    </row>
    <row r="879" spans="1:3" ht="12" customHeight="1" x14ac:dyDescent="0.2">
      <c r="A879" s="4"/>
      <c r="C879" s="8"/>
    </row>
    <row r="880" spans="1:3" ht="12" customHeight="1" x14ac:dyDescent="0.2">
      <c r="A880" s="4"/>
      <c r="C880" s="8"/>
    </row>
    <row r="881" spans="1:3" ht="12" customHeight="1" x14ac:dyDescent="0.2">
      <c r="A881" s="4"/>
      <c r="C881" s="8"/>
    </row>
    <row r="882" spans="1:3" ht="12" customHeight="1" x14ac:dyDescent="0.2">
      <c r="A882" s="4"/>
      <c r="C882" s="8"/>
    </row>
    <row r="883" spans="1:3" ht="12" customHeight="1" x14ac:dyDescent="0.2">
      <c r="A883" s="4"/>
      <c r="C883" s="8"/>
    </row>
    <row r="884" spans="1:3" ht="12" customHeight="1" x14ac:dyDescent="0.2">
      <c r="A884" s="4"/>
      <c r="C884" s="8"/>
    </row>
    <row r="885" spans="1:3" ht="12" customHeight="1" x14ac:dyDescent="0.2">
      <c r="A885" s="4"/>
      <c r="C885" s="8"/>
    </row>
    <row r="886" spans="1:3" ht="12" customHeight="1" x14ac:dyDescent="0.2">
      <c r="A886" s="4"/>
      <c r="C886" s="8"/>
    </row>
    <row r="887" spans="1:3" ht="12" customHeight="1" x14ac:dyDescent="0.2">
      <c r="A887" s="4"/>
      <c r="C887" s="8"/>
    </row>
    <row r="888" spans="1:3" ht="12" customHeight="1" x14ac:dyDescent="0.2">
      <c r="A888" s="4"/>
      <c r="C888" s="8"/>
    </row>
    <row r="889" spans="1:3" ht="12" customHeight="1" x14ac:dyDescent="0.2">
      <c r="A889" s="4"/>
      <c r="C889" s="8"/>
    </row>
    <row r="890" spans="1:3" ht="12" customHeight="1" x14ac:dyDescent="0.2">
      <c r="A890" s="4"/>
      <c r="C890" s="8"/>
    </row>
    <row r="891" spans="1:3" ht="12" customHeight="1" x14ac:dyDescent="0.2">
      <c r="A891" s="4"/>
      <c r="C891" s="8"/>
    </row>
    <row r="892" spans="1:3" ht="12" customHeight="1" x14ac:dyDescent="0.2">
      <c r="A892" s="4"/>
      <c r="C892" s="8"/>
    </row>
    <row r="893" spans="1:3" ht="12" customHeight="1" x14ac:dyDescent="0.2">
      <c r="A893" s="4"/>
      <c r="C893" s="8"/>
    </row>
    <row r="894" spans="1:3" ht="12" customHeight="1" x14ac:dyDescent="0.2">
      <c r="A894" s="4"/>
      <c r="C894" s="8"/>
    </row>
    <row r="895" spans="1:3" ht="12" customHeight="1" x14ac:dyDescent="0.2">
      <c r="A895" s="4"/>
      <c r="C895" s="8"/>
    </row>
    <row r="896" spans="1:3" ht="12" customHeight="1" x14ac:dyDescent="0.2">
      <c r="A896" s="4"/>
      <c r="C896" s="8"/>
    </row>
    <row r="897" spans="1:3" ht="12" customHeight="1" x14ac:dyDescent="0.2">
      <c r="A897" s="4"/>
      <c r="C897" s="8"/>
    </row>
    <row r="898" spans="1:3" ht="12" customHeight="1" x14ac:dyDescent="0.2">
      <c r="A898" s="4"/>
      <c r="C898" s="8"/>
    </row>
    <row r="899" spans="1:3" ht="12" customHeight="1" x14ac:dyDescent="0.2">
      <c r="A899" s="4"/>
      <c r="C899" s="8"/>
    </row>
    <row r="900" spans="1:3" ht="12" customHeight="1" x14ac:dyDescent="0.2">
      <c r="A900" s="4"/>
      <c r="C900" s="8"/>
    </row>
    <row r="901" spans="1:3" ht="12" customHeight="1" x14ac:dyDescent="0.2">
      <c r="A901" s="4"/>
      <c r="C901" s="8"/>
    </row>
    <row r="902" spans="1:3" ht="12" customHeight="1" x14ac:dyDescent="0.2">
      <c r="A902" s="4"/>
      <c r="C902" s="8"/>
    </row>
    <row r="903" spans="1:3" ht="12" customHeight="1" x14ac:dyDescent="0.2">
      <c r="A903" s="4"/>
      <c r="C903" s="8"/>
    </row>
    <row r="904" spans="1:3" ht="12" customHeight="1" x14ac:dyDescent="0.2">
      <c r="A904" s="4"/>
      <c r="C904" s="8"/>
    </row>
    <row r="905" spans="1:3" ht="12" customHeight="1" x14ac:dyDescent="0.2">
      <c r="A905" s="4"/>
      <c r="C905" s="8"/>
    </row>
    <row r="906" spans="1:3" ht="12" customHeight="1" x14ac:dyDescent="0.2">
      <c r="A906" s="4"/>
      <c r="C906" s="8"/>
    </row>
    <row r="907" spans="1:3" ht="12" customHeight="1" x14ac:dyDescent="0.2">
      <c r="A907" s="4"/>
      <c r="C907" s="8"/>
    </row>
    <row r="908" spans="1:3" ht="12" customHeight="1" x14ac:dyDescent="0.2">
      <c r="A908" s="4"/>
      <c r="C908" s="8"/>
    </row>
    <row r="909" spans="1:3" ht="12" customHeight="1" x14ac:dyDescent="0.2">
      <c r="A909" s="4"/>
      <c r="C909" s="8"/>
    </row>
    <row r="910" spans="1:3" ht="12" customHeight="1" x14ac:dyDescent="0.2">
      <c r="A910" s="4"/>
      <c r="C910" s="8"/>
    </row>
    <row r="911" spans="1:3" ht="12" customHeight="1" x14ac:dyDescent="0.2">
      <c r="A911" s="4"/>
      <c r="C911" s="8"/>
    </row>
    <row r="912" spans="1:3" ht="12" customHeight="1" x14ac:dyDescent="0.2">
      <c r="A912" s="4"/>
      <c r="C912" s="8"/>
    </row>
    <row r="913" spans="1:3" ht="12" customHeight="1" x14ac:dyDescent="0.2">
      <c r="A913" s="4"/>
      <c r="C913" s="8"/>
    </row>
    <row r="914" spans="1:3" ht="12" customHeight="1" x14ac:dyDescent="0.2">
      <c r="A914" s="4"/>
      <c r="C914" s="8"/>
    </row>
    <row r="915" spans="1:3" ht="12" customHeight="1" x14ac:dyDescent="0.2">
      <c r="A915" s="4"/>
      <c r="C915" s="8"/>
    </row>
    <row r="916" spans="1:3" ht="12" customHeight="1" x14ac:dyDescent="0.2">
      <c r="A916" s="4"/>
      <c r="C916" s="8"/>
    </row>
    <row r="917" spans="1:3" ht="12" customHeight="1" x14ac:dyDescent="0.2">
      <c r="A917" s="4"/>
      <c r="C917" s="8"/>
    </row>
    <row r="918" spans="1:3" ht="12" customHeight="1" x14ac:dyDescent="0.2">
      <c r="A918" s="4"/>
      <c r="C918" s="8"/>
    </row>
    <row r="919" spans="1:3" ht="12" customHeight="1" x14ac:dyDescent="0.2">
      <c r="A919" s="4"/>
      <c r="C919" s="8"/>
    </row>
    <row r="920" spans="1:3" ht="12" customHeight="1" x14ac:dyDescent="0.2">
      <c r="A920" s="4"/>
      <c r="C920" s="8"/>
    </row>
    <row r="921" spans="1:3" ht="12" customHeight="1" x14ac:dyDescent="0.2">
      <c r="A921" s="4"/>
      <c r="C921" s="8"/>
    </row>
    <row r="922" spans="1:3" ht="12" customHeight="1" x14ac:dyDescent="0.2">
      <c r="A922" s="4"/>
      <c r="C922" s="8"/>
    </row>
    <row r="923" spans="1:3" ht="12" customHeight="1" x14ac:dyDescent="0.2">
      <c r="A923" s="4"/>
      <c r="C923" s="8"/>
    </row>
    <row r="924" spans="1:3" ht="12" customHeight="1" x14ac:dyDescent="0.2">
      <c r="A924" s="4"/>
      <c r="C924" s="8"/>
    </row>
    <row r="925" spans="1:3" ht="12" customHeight="1" x14ac:dyDescent="0.2">
      <c r="A925" s="4"/>
      <c r="C925" s="8"/>
    </row>
    <row r="926" spans="1:3" ht="12" customHeight="1" x14ac:dyDescent="0.2">
      <c r="A926" s="4"/>
      <c r="C926" s="8"/>
    </row>
    <row r="927" spans="1:3" ht="12" customHeight="1" x14ac:dyDescent="0.2">
      <c r="A927" s="4"/>
      <c r="C927" s="8"/>
    </row>
    <row r="928" spans="1:3" ht="12" customHeight="1" x14ac:dyDescent="0.2">
      <c r="A928" s="4"/>
      <c r="C928" s="8"/>
    </row>
    <row r="929" spans="1:3" ht="12" customHeight="1" x14ac:dyDescent="0.2">
      <c r="A929" s="4"/>
      <c r="C929" s="8"/>
    </row>
    <row r="930" spans="1:3" ht="12" customHeight="1" x14ac:dyDescent="0.2">
      <c r="A930" s="4"/>
      <c r="C930" s="8"/>
    </row>
    <row r="931" spans="1:3" ht="12" customHeight="1" x14ac:dyDescent="0.2">
      <c r="A931" s="4"/>
      <c r="C931" s="8"/>
    </row>
    <row r="932" spans="1:3" ht="12" customHeight="1" x14ac:dyDescent="0.2">
      <c r="A932" s="4"/>
      <c r="C932" s="8"/>
    </row>
    <row r="933" spans="1:3" ht="12" customHeight="1" x14ac:dyDescent="0.2">
      <c r="A933" s="4"/>
      <c r="C933" s="8"/>
    </row>
    <row r="934" spans="1:3" ht="12" customHeight="1" x14ac:dyDescent="0.2">
      <c r="A934" s="4"/>
      <c r="C934" s="8"/>
    </row>
    <row r="935" spans="1:3" ht="12" customHeight="1" x14ac:dyDescent="0.2">
      <c r="A935" s="4"/>
      <c r="C935" s="8"/>
    </row>
    <row r="936" spans="1:3" ht="12" customHeight="1" x14ac:dyDescent="0.2">
      <c r="A936" s="4"/>
      <c r="C936" s="8"/>
    </row>
    <row r="937" spans="1:3" ht="12" customHeight="1" x14ac:dyDescent="0.2">
      <c r="A937" s="4"/>
      <c r="C937" s="8"/>
    </row>
    <row r="938" spans="1:3" ht="12" customHeight="1" x14ac:dyDescent="0.2">
      <c r="A938" s="4"/>
      <c r="C938" s="8"/>
    </row>
    <row r="939" spans="1:3" ht="12" customHeight="1" x14ac:dyDescent="0.2">
      <c r="A939" s="4"/>
      <c r="C939" s="8"/>
    </row>
    <row r="940" spans="1:3" ht="12" customHeight="1" x14ac:dyDescent="0.2">
      <c r="A940" s="4"/>
      <c r="C940" s="8"/>
    </row>
    <row r="941" spans="1:3" ht="12" customHeight="1" x14ac:dyDescent="0.2">
      <c r="A941" s="4"/>
      <c r="C941" s="8"/>
    </row>
    <row r="942" spans="1:3" ht="12" customHeight="1" x14ac:dyDescent="0.2">
      <c r="A942" s="4"/>
      <c r="C942" s="8"/>
    </row>
    <row r="943" spans="1:3" ht="12" customHeight="1" x14ac:dyDescent="0.2">
      <c r="A943" s="4"/>
      <c r="C943" s="8"/>
    </row>
    <row r="944" spans="1:3" ht="12" customHeight="1" x14ac:dyDescent="0.2">
      <c r="A944" s="4"/>
      <c r="C944" s="8"/>
    </row>
    <row r="945" spans="1:3" ht="12" customHeight="1" x14ac:dyDescent="0.2">
      <c r="A945" s="4"/>
      <c r="C945" s="8"/>
    </row>
    <row r="946" spans="1:3" ht="12" customHeight="1" x14ac:dyDescent="0.2">
      <c r="A946" s="4"/>
      <c r="C946" s="8"/>
    </row>
    <row r="947" spans="1:3" ht="12" customHeight="1" x14ac:dyDescent="0.2">
      <c r="A947" s="4"/>
      <c r="C947" s="8"/>
    </row>
    <row r="948" spans="1:3" ht="12" customHeight="1" x14ac:dyDescent="0.2">
      <c r="A948" s="4"/>
      <c r="C948" s="8"/>
    </row>
    <row r="949" spans="1:3" ht="12" customHeight="1" x14ac:dyDescent="0.2">
      <c r="A949" s="4"/>
      <c r="C949" s="8"/>
    </row>
    <row r="950" spans="1:3" ht="12" customHeight="1" x14ac:dyDescent="0.2">
      <c r="A950" s="4"/>
      <c r="C950" s="8"/>
    </row>
    <row r="951" spans="1:3" ht="12" customHeight="1" x14ac:dyDescent="0.2">
      <c r="A951" s="4"/>
      <c r="C951" s="8"/>
    </row>
    <row r="952" spans="1:3" ht="12" customHeight="1" x14ac:dyDescent="0.2">
      <c r="A952" s="4"/>
      <c r="C952" s="8"/>
    </row>
    <row r="953" spans="1:3" ht="12" customHeight="1" x14ac:dyDescent="0.2">
      <c r="A953" s="4"/>
      <c r="C953" s="8"/>
    </row>
    <row r="954" spans="1:3" ht="12" customHeight="1" x14ac:dyDescent="0.2">
      <c r="A954" s="4"/>
      <c r="C954" s="8"/>
    </row>
    <row r="955" spans="1:3" ht="12" customHeight="1" x14ac:dyDescent="0.2">
      <c r="A955" s="4"/>
      <c r="C955" s="8"/>
    </row>
    <row r="956" spans="1:3" ht="12" customHeight="1" x14ac:dyDescent="0.2">
      <c r="A956" s="4"/>
      <c r="C956" s="8"/>
    </row>
    <row r="957" spans="1:3" ht="12" customHeight="1" x14ac:dyDescent="0.2">
      <c r="A957" s="4"/>
      <c r="C957" s="8"/>
    </row>
    <row r="958" spans="1:3" ht="12" customHeight="1" x14ac:dyDescent="0.2">
      <c r="A958" s="4"/>
      <c r="C958" s="8"/>
    </row>
    <row r="959" spans="1:3" ht="12" customHeight="1" x14ac:dyDescent="0.2">
      <c r="A959" s="4"/>
      <c r="C959" s="8"/>
    </row>
    <row r="960" spans="1:3" ht="12" customHeight="1" x14ac:dyDescent="0.2">
      <c r="A960" s="4"/>
      <c r="C960" s="8"/>
    </row>
    <row r="961" spans="1:3" ht="12" customHeight="1" x14ac:dyDescent="0.2">
      <c r="A961" s="4"/>
      <c r="C961" s="8"/>
    </row>
    <row r="962" spans="1:3" ht="12" customHeight="1" x14ac:dyDescent="0.2">
      <c r="A962" s="4"/>
      <c r="C962" s="8"/>
    </row>
    <row r="963" spans="1:3" ht="12" customHeight="1" x14ac:dyDescent="0.2">
      <c r="A963" s="4"/>
      <c r="C963" s="8"/>
    </row>
    <row r="964" spans="1:3" ht="12" customHeight="1" x14ac:dyDescent="0.2">
      <c r="A964" s="4"/>
      <c r="C964" s="8"/>
    </row>
    <row r="965" spans="1:3" ht="12" customHeight="1" x14ac:dyDescent="0.2">
      <c r="A965" s="4"/>
      <c r="C965" s="8"/>
    </row>
    <row r="966" spans="1:3" ht="12" customHeight="1" x14ac:dyDescent="0.2">
      <c r="A966" s="4"/>
      <c r="C966" s="8"/>
    </row>
    <row r="967" spans="1:3" ht="12" customHeight="1" x14ac:dyDescent="0.2">
      <c r="A967" s="4"/>
      <c r="C967" s="8"/>
    </row>
    <row r="968" spans="1:3" ht="12" customHeight="1" x14ac:dyDescent="0.2">
      <c r="A968" s="4"/>
      <c r="C968" s="8"/>
    </row>
    <row r="969" spans="1:3" ht="12" customHeight="1" x14ac:dyDescent="0.2">
      <c r="A969" s="4"/>
      <c r="C969" s="8"/>
    </row>
    <row r="970" spans="1:3" ht="12" customHeight="1" x14ac:dyDescent="0.2">
      <c r="A970" s="4"/>
      <c r="C970" s="8"/>
    </row>
    <row r="971" spans="1:3" ht="12" customHeight="1" x14ac:dyDescent="0.2">
      <c r="A971" s="4"/>
      <c r="C971" s="8"/>
    </row>
    <row r="972" spans="1:3" ht="12" customHeight="1" x14ac:dyDescent="0.2">
      <c r="A972" s="4"/>
      <c r="C972" s="8"/>
    </row>
    <row r="973" spans="1:3" ht="12" customHeight="1" x14ac:dyDescent="0.2">
      <c r="A973" s="4"/>
      <c r="C973" s="8"/>
    </row>
    <row r="974" spans="1:3" ht="12" customHeight="1" x14ac:dyDescent="0.2">
      <c r="A974" s="4"/>
      <c r="C974" s="8"/>
    </row>
    <row r="975" spans="1:3" ht="12" customHeight="1" x14ac:dyDescent="0.2">
      <c r="A975" s="4"/>
      <c r="C975" s="8"/>
    </row>
    <row r="976" spans="1:3" ht="12" customHeight="1" x14ac:dyDescent="0.2">
      <c r="A976" s="4"/>
      <c r="C976" s="8"/>
    </row>
    <row r="977" spans="1:3" ht="12" customHeight="1" x14ac:dyDescent="0.2">
      <c r="A977" s="4"/>
      <c r="C977" s="8"/>
    </row>
    <row r="978" spans="1:3" ht="12" customHeight="1" x14ac:dyDescent="0.2">
      <c r="A978" s="4"/>
      <c r="C978" s="8"/>
    </row>
    <row r="979" spans="1:3" ht="12" customHeight="1" x14ac:dyDescent="0.2">
      <c r="A979" s="4"/>
      <c r="C979" s="8"/>
    </row>
    <row r="980" spans="1:3" ht="12" customHeight="1" x14ac:dyDescent="0.2">
      <c r="A980" s="4"/>
      <c r="C980" s="8"/>
    </row>
    <row r="981" spans="1:3" ht="12" customHeight="1" x14ac:dyDescent="0.2">
      <c r="A981" s="4"/>
      <c r="C981" s="8"/>
    </row>
    <row r="982" spans="1:3" ht="12" customHeight="1" x14ac:dyDescent="0.2">
      <c r="A982" s="4"/>
      <c r="C982" s="8"/>
    </row>
    <row r="983" spans="1:3" ht="12" customHeight="1" x14ac:dyDescent="0.2">
      <c r="A983" s="4"/>
      <c r="C983" s="8"/>
    </row>
    <row r="984" spans="1:3" ht="12" customHeight="1" x14ac:dyDescent="0.2">
      <c r="A984" s="4"/>
      <c r="C984" s="8"/>
    </row>
    <row r="985" spans="1:3" ht="12" customHeight="1" x14ac:dyDescent="0.2">
      <c r="A985" s="4"/>
      <c r="C985" s="8"/>
    </row>
    <row r="986" spans="1:3" ht="12" customHeight="1" x14ac:dyDescent="0.2">
      <c r="A986" s="4"/>
      <c r="C986" s="8"/>
    </row>
    <row r="987" spans="1:3" ht="12" customHeight="1" x14ac:dyDescent="0.2">
      <c r="A987" s="4"/>
      <c r="C987" s="8"/>
    </row>
    <row r="988" spans="1:3" ht="12" customHeight="1" x14ac:dyDescent="0.2">
      <c r="A988" s="4"/>
      <c r="C988" s="8"/>
    </row>
    <row r="989" spans="1:3" ht="12" customHeight="1" x14ac:dyDescent="0.2">
      <c r="A989" s="4"/>
      <c r="C989" s="8"/>
    </row>
    <row r="990" spans="1:3" ht="12" customHeight="1" x14ac:dyDescent="0.2">
      <c r="A990" s="4"/>
      <c r="C990" s="8"/>
    </row>
    <row r="991" spans="1:3" ht="12" customHeight="1" x14ac:dyDescent="0.2">
      <c r="A991" s="4"/>
      <c r="C991" s="8"/>
    </row>
    <row r="992" spans="1:3" ht="12" customHeight="1" x14ac:dyDescent="0.2">
      <c r="A992" s="4"/>
      <c r="C992" s="8"/>
    </row>
    <row r="993" spans="1:3" ht="12" customHeight="1" x14ac:dyDescent="0.2">
      <c r="A993" s="4"/>
      <c r="C993" s="8"/>
    </row>
    <row r="994" spans="1:3" ht="12" customHeight="1" x14ac:dyDescent="0.2">
      <c r="A994" s="4"/>
      <c r="C994" s="8"/>
    </row>
    <row r="995" spans="1:3" ht="12" customHeight="1" x14ac:dyDescent="0.2">
      <c r="A995" s="4"/>
      <c r="C995" s="8"/>
    </row>
    <row r="996" spans="1:3" ht="12" customHeight="1" x14ac:dyDescent="0.2">
      <c r="A996" s="4"/>
      <c r="C996" s="8"/>
    </row>
    <row r="997" spans="1:3" ht="12" customHeight="1" x14ac:dyDescent="0.2">
      <c r="A997" s="4"/>
      <c r="C997" s="8"/>
    </row>
    <row r="998" spans="1:3" ht="12" customHeight="1" x14ac:dyDescent="0.2">
      <c r="A998" s="4"/>
      <c r="C998" s="8"/>
    </row>
    <row r="999" spans="1:3" ht="12" customHeight="1" x14ac:dyDescent="0.2">
      <c r="A999" s="4"/>
      <c r="C999" s="8"/>
    </row>
    <row r="1000" spans="1:3" ht="12" customHeight="1" x14ac:dyDescent="0.2">
      <c r="A1000" s="4"/>
      <c r="C1000" s="8"/>
    </row>
  </sheetData>
  <autoFilter ref="A1:F651" xr:uid="{00000000-0009-0000-0000-000000000000}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1" width="80" customWidth="1"/>
    <col min="2" max="26" width="8.7109375" customWidth="1"/>
  </cols>
  <sheetData>
    <row r="1" spans="1:1" ht="12" customHeight="1" x14ac:dyDescent="0.2">
      <c r="A1" s="11" t="s">
        <v>2617</v>
      </c>
    </row>
    <row r="2" spans="1:1" ht="12" customHeight="1" x14ac:dyDescent="0.2"/>
    <row r="3" spans="1:1" ht="12" customHeight="1" x14ac:dyDescent="0.2"/>
    <row r="4" spans="1:1" ht="12" customHeight="1" x14ac:dyDescent="0.2"/>
    <row r="5" spans="1:1" ht="12" customHeight="1" x14ac:dyDescent="0.2"/>
    <row r="6" spans="1:1" ht="12" customHeight="1" x14ac:dyDescent="0.2"/>
    <row r="7" spans="1:1" ht="12" customHeight="1" x14ac:dyDescent="0.2"/>
    <row r="8" spans="1:1" ht="12" customHeight="1" x14ac:dyDescent="0.2"/>
    <row r="9" spans="1:1" ht="12" customHeight="1" x14ac:dyDescent="0.2"/>
    <row r="10" spans="1:1" ht="12" customHeight="1" x14ac:dyDescent="0.2"/>
    <row r="11" spans="1:1" ht="12" customHeight="1" x14ac:dyDescent="0.2"/>
    <row r="12" spans="1:1" ht="12" customHeight="1" x14ac:dyDescent="0.2"/>
    <row r="13" spans="1:1" ht="12" customHeight="1" x14ac:dyDescent="0.2"/>
    <row r="14" spans="1:1" ht="12" customHeight="1" x14ac:dyDescent="0.2"/>
    <row r="15" spans="1:1" ht="12" customHeight="1" x14ac:dyDescent="0.2"/>
    <row r="16" spans="1:1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SQL Results</vt:lpstr>
      <vt:lpstr>SQL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Tunahan Orkun Deniz</cp:lastModifiedBy>
  <dcterms:modified xsi:type="dcterms:W3CDTF">2021-09-24T11:58:39Z</dcterms:modified>
</cp:coreProperties>
</file>